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bi002\Box\Documents_PC\IRA\2023 BPEA IRA\"/>
    </mc:Choice>
  </mc:AlternateContent>
  <xr:revisionPtr revIDLastSave="0" documentId="13_ncr:1_{FE795202-F285-4AB1-9235-A954508815B4}" xr6:coauthVersionLast="47" xr6:coauthVersionMax="47" xr10:uidLastSave="{00000000-0000-0000-0000-000000000000}"/>
  <bookViews>
    <workbookView xWindow="-110" yWindow="-110" windowWidth="38620" windowHeight="21220" xr2:uid="{F25B121F-DA82-F141-9461-13BAAA0663D9}"/>
  </bookViews>
  <sheets>
    <sheet name="Table 1 (Sep. 7)" sheetId="4" r:id="rId1"/>
    <sheet name="Table 1 (Aug. 5)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3" i="4" l="1"/>
  <c r="C9" i="4"/>
  <c r="C43" i="4" s="1"/>
  <c r="C4" i="4"/>
  <c r="C5" i="4"/>
  <c r="C39" i="4" s="1"/>
  <c r="C59" i="4" s="1"/>
  <c r="C6" i="4"/>
  <c r="C40" i="4" s="1"/>
  <c r="C29" i="4"/>
  <c r="D29" i="4"/>
  <c r="D16" i="4"/>
  <c r="C16" i="4"/>
  <c r="C10" i="4"/>
  <c r="A61" i="4"/>
  <c r="A60" i="4"/>
  <c r="A59" i="4"/>
  <c r="A58" i="4"/>
  <c r="C38" i="4"/>
  <c r="C58" i="4" s="1"/>
  <c r="D27" i="4"/>
  <c r="C27" i="4"/>
  <c r="C26" i="4"/>
  <c r="C50" i="4" s="1"/>
  <c r="D25" i="4"/>
  <c r="C25" i="4"/>
  <c r="D24" i="4"/>
  <c r="C24" i="4"/>
  <c r="D23" i="4"/>
  <c r="C23" i="4"/>
  <c r="D21" i="4"/>
  <c r="D28" i="4" s="1"/>
  <c r="C21" i="4"/>
  <c r="C49" i="4" s="1"/>
  <c r="D18" i="4"/>
  <c r="C18" i="4"/>
  <c r="D17" i="4"/>
  <c r="C17" i="4"/>
  <c r="C8" i="4"/>
  <c r="C42" i="4" s="1"/>
  <c r="C7" i="4"/>
  <c r="C41" i="4" s="1"/>
  <c r="C3" i="4"/>
  <c r="C37" i="4" s="1"/>
  <c r="G44" i="1"/>
  <c r="G38" i="1"/>
  <c r="G39" i="1"/>
  <c r="G40" i="1"/>
  <c r="G41" i="1"/>
  <c r="G42" i="1"/>
  <c r="G43" i="1"/>
  <c r="G37" i="1"/>
  <c r="F38" i="1"/>
  <c r="F39" i="1"/>
  <c r="F40" i="1"/>
  <c r="F41" i="1"/>
  <c r="F42" i="1"/>
  <c r="F43" i="1"/>
  <c r="F44" i="1"/>
  <c r="F47" i="1"/>
  <c r="F48" i="1"/>
  <c r="F49" i="1"/>
  <c r="F50" i="1"/>
  <c r="F51" i="1"/>
  <c r="F52" i="1"/>
  <c r="F37" i="1"/>
  <c r="A61" i="1"/>
  <c r="A60" i="1"/>
  <c r="A59" i="1"/>
  <c r="A58" i="1"/>
  <c r="C39" i="1"/>
  <c r="C59" i="1" s="1"/>
  <c r="C38" i="1"/>
  <c r="C58" i="1" s="1"/>
  <c r="D29" i="1"/>
  <c r="C29" i="1"/>
  <c r="D27" i="1"/>
  <c r="C27" i="1"/>
  <c r="C26" i="1"/>
  <c r="C50" i="1" s="1"/>
  <c r="C60" i="1" s="1"/>
  <c r="D25" i="1"/>
  <c r="C25" i="1"/>
  <c r="D24" i="1"/>
  <c r="C24" i="1"/>
  <c r="D23" i="1"/>
  <c r="C23" i="1"/>
  <c r="D21" i="1"/>
  <c r="C21" i="1"/>
  <c r="C49" i="1" s="1"/>
  <c r="D18" i="1"/>
  <c r="C18" i="1"/>
  <c r="D17" i="1"/>
  <c r="C17" i="1"/>
  <c r="C48" i="1" s="1"/>
  <c r="D16" i="1"/>
  <c r="C16" i="1"/>
  <c r="C10" i="1"/>
  <c r="C9" i="1"/>
  <c r="C43" i="1" s="1"/>
  <c r="C8" i="1"/>
  <c r="C42" i="1" s="1"/>
  <c r="C61" i="1" s="1"/>
  <c r="C7" i="1"/>
  <c r="C41" i="1" s="1"/>
  <c r="C6" i="1"/>
  <c r="C40" i="1" s="1"/>
  <c r="C3" i="1"/>
  <c r="C47" i="4" l="1"/>
  <c r="C28" i="4"/>
  <c r="C51" i="4" s="1"/>
  <c r="C48" i="4"/>
  <c r="C57" i="4" s="1"/>
  <c r="G40" i="4"/>
  <c r="G41" i="4"/>
  <c r="C61" i="4"/>
  <c r="G42" i="4"/>
  <c r="G39" i="4"/>
  <c r="G37" i="4"/>
  <c r="C44" i="4"/>
  <c r="G38" i="4"/>
  <c r="C60" i="4"/>
  <c r="G43" i="4"/>
  <c r="D33" i="4"/>
  <c r="C11" i="4"/>
  <c r="C37" i="1"/>
  <c r="C47" i="1"/>
  <c r="D28" i="1"/>
  <c r="D33" i="1" s="1"/>
  <c r="C28" i="1"/>
  <c r="C11" i="1"/>
  <c r="C52" i="4" l="1"/>
  <c r="C33" i="4"/>
  <c r="F47" i="4"/>
  <c r="F51" i="4"/>
  <c r="F48" i="4"/>
  <c r="F39" i="4"/>
  <c r="F52" i="4"/>
  <c r="G44" i="4"/>
  <c r="F44" i="4"/>
  <c r="F50" i="4"/>
  <c r="F37" i="4"/>
  <c r="F41" i="4"/>
  <c r="F38" i="4"/>
  <c r="F49" i="4"/>
  <c r="F43" i="4"/>
  <c r="F42" i="4"/>
  <c r="F40" i="4"/>
  <c r="C33" i="1"/>
  <c r="C44" i="1"/>
  <c r="C57" i="1"/>
  <c r="C51" i="1"/>
  <c r="C52" i="1" s="1"/>
</calcChain>
</file>

<file path=xl/sharedStrings.xml><?xml version="1.0" encoding="utf-8"?>
<sst xmlns="http://schemas.openxmlformats.org/spreadsheetml/2006/main" count="191" uniqueCount="95">
  <si>
    <t>Provision</t>
  </si>
  <si>
    <t>Extension and Expansion of Production Tax Credit and Investment Tax Credit for Renewable Electricity Generation and Storage</t>
  </si>
  <si>
    <t>CBO Estimate of Fiscal Cost ($B over budget window)</t>
  </si>
  <si>
    <t>Notes</t>
  </si>
  <si>
    <t>Extension and Expansion of Production Tax Credit for Carbon Capture and Sequestration</t>
  </si>
  <si>
    <t>Sec. 13104</t>
  </si>
  <si>
    <t>Nuclear Power Production Credit</t>
  </si>
  <si>
    <t>Sec. 13105</t>
  </si>
  <si>
    <t>Clean Fuels</t>
  </si>
  <si>
    <t>Sec. 13201, 13202, 13203, 13204, clean hydrogen scored more than biodiesel, SAF trivial</t>
  </si>
  <si>
    <t>Clean Energy and Efficiency Incentives for Individuals</t>
  </si>
  <si>
    <t>Sec. 13301-13304</t>
  </si>
  <si>
    <t>Clean Vehicles</t>
  </si>
  <si>
    <t>Sec 13401-13404, clean vehicle (personal) more than 2x commercial</t>
  </si>
  <si>
    <t>Clean Energy Manufacturing</t>
  </si>
  <si>
    <t>Sec. 13501-13502</t>
  </si>
  <si>
    <t>Superfund</t>
  </si>
  <si>
    <t>Clean Electricity Production and Investment Credits</t>
  </si>
  <si>
    <t>Agricultural Conservation</t>
  </si>
  <si>
    <t>Sec. 21001-21002</t>
  </si>
  <si>
    <t>Rural Energy Loans</t>
  </si>
  <si>
    <t>Estimated Outlays</t>
  </si>
  <si>
    <t>Budget Authority</t>
  </si>
  <si>
    <t>Sec. 22001-22005</t>
  </si>
  <si>
    <t>Sec. 23001-23005</t>
  </si>
  <si>
    <t>Sec. 30001-30002</t>
  </si>
  <si>
    <t>NOAA funding, coastal communities (resilience)</t>
  </si>
  <si>
    <t>Sec. 40001-40007</t>
  </si>
  <si>
    <t>Affordable housing related (EE)</t>
  </si>
  <si>
    <t>Table 2</t>
  </si>
  <si>
    <t>Table 3</t>
  </si>
  <si>
    <t>Table 4</t>
  </si>
  <si>
    <t>Table 5</t>
  </si>
  <si>
    <t>Energy Efficiency</t>
  </si>
  <si>
    <t>DOE Loan &amp; Grant Program</t>
  </si>
  <si>
    <t>Sec. 50141</t>
  </si>
  <si>
    <t>Sec. 50121-50123, 50131</t>
  </si>
  <si>
    <t>Vehicle Manufacturing</t>
  </si>
  <si>
    <t>Sec. 50142-50143</t>
  </si>
  <si>
    <t>Energy Infrastructure Reinvestment Financing</t>
  </si>
  <si>
    <t>Sec. 50144-50145</t>
  </si>
  <si>
    <t>Table 1</t>
  </si>
  <si>
    <t>Electric Transmission</t>
  </si>
  <si>
    <t>Sec. 50151-50153</t>
  </si>
  <si>
    <t>Industrial</t>
  </si>
  <si>
    <t>Sec. 50161</t>
  </si>
  <si>
    <t>Sec. 50171-50173</t>
  </si>
  <si>
    <t>Other</t>
  </si>
  <si>
    <t>Natural Resources</t>
  </si>
  <si>
    <t>Sec. 50221-50303</t>
  </si>
  <si>
    <t>Environment and Public Works ex. Green Bank(other)</t>
  </si>
  <si>
    <t>Green Bank</t>
  </si>
  <si>
    <t>Table 6</t>
  </si>
  <si>
    <t>Sec. 60103</t>
  </si>
  <si>
    <t>Table 7</t>
  </si>
  <si>
    <t>Homeland Security and Governmental Affairs</t>
  </si>
  <si>
    <t>Biggest item is $3B for clean postal fleet</t>
  </si>
  <si>
    <t>Indian Affairs</t>
  </si>
  <si>
    <t>Table 8</t>
  </si>
  <si>
    <t>TOTAL</t>
  </si>
  <si>
    <t>TAX EXPENDITURES SUBTOTAL</t>
  </si>
  <si>
    <t>DIRECT EXPENDITURES SUBTOTAL</t>
  </si>
  <si>
    <t>Sec. 13701-13704, this reflects credits in later years, more general</t>
  </si>
  <si>
    <t>Sec. 13101 plus 13102, CBO note suggests it also includeds 13103; this  reflects credits in early years, specific</t>
  </si>
  <si>
    <t>Production Tax Credit for Carbon Capture and Sequestration</t>
  </si>
  <si>
    <t>TAX CREDITS</t>
  </si>
  <si>
    <t>SUBTOTAL</t>
  </si>
  <si>
    <t>DIRECT EXPENDITURES</t>
  </si>
  <si>
    <t>Forestry Projects</t>
  </si>
  <si>
    <t>Other (e.g., Green Bank)</t>
  </si>
  <si>
    <t>Agricultural &amp; Forestry Conservation and Sequestration Projects</t>
  </si>
  <si>
    <t>NB: Leaving out Superfund</t>
  </si>
  <si>
    <t>CBO Table</t>
  </si>
  <si>
    <t>Investment and Production Tax Credits for Clean Electricity Generation &amp; Storage</t>
  </si>
  <si>
    <t>SUMMARY FOR INCLUSION IN PAPER - TABLE 1</t>
  </si>
  <si>
    <t>Clean Electricity Investment - Renewables &amp; Storage</t>
  </si>
  <si>
    <t>CBO Score</t>
  </si>
  <si>
    <t>Range of Modeled Estimates</t>
  </si>
  <si>
    <t>Low</t>
  </si>
  <si>
    <t>High</t>
  </si>
  <si>
    <t>Average</t>
  </si>
  <si>
    <t>EXTRACTS FOR INCLUSION IN PAPER - SHELVED FOR NOW</t>
  </si>
  <si>
    <t>Nuclear Power Production Tax Credit</t>
  </si>
  <si>
    <t>CBO Data from: https://www.cbo.gov/system/files/2022-08/hr5376_IR_Act_8-3-22.pdf</t>
  </si>
  <si>
    <t>Industrial Decarbonization</t>
  </si>
  <si>
    <t>Share of Total (%)</t>
  </si>
  <si>
    <t>Share of Tax Credits (%)</t>
  </si>
  <si>
    <t>CBO Data from: https://www.cbo.gov/system/files/2022-09/PL117-169_9-7-22.pdf</t>
  </si>
  <si>
    <t>Sec. 13101 plus 13102, CBO note suggests it also includes 13103; this reflects credits in early years, specific</t>
  </si>
  <si>
    <t>Energy Loans</t>
  </si>
  <si>
    <t>MOVE TO ENERGY LOANS?</t>
  </si>
  <si>
    <t>Sec. 13105 (inlcudes outlays)</t>
  </si>
  <si>
    <t>Sec. 13201, 13202, 13203, 13204, clean hydrogen scored more than biodiesel, SAF trivial (inlucdes outlays)</t>
  </si>
  <si>
    <t>Sec. 13104 (inlcudes outlays)</t>
  </si>
  <si>
    <t>Sec. 13501-13502 (inlcudes outlay)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</si>
</sst>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#,##0.000"/>
    <numFmt numFmtId="166" formatCode="0.00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3" fontId="0" fillId="0" borderId="0" xfId="0" applyNumberFormat="1"/>
    <xf numFmtId="0" fontId="3" fillId="0" borderId="0" xfId="0" applyFont="1"/>
    <xf numFmtId="0" fontId="0" fillId="0" borderId="0" xfId="0" applyAlignment="1">
      <alignment wrapText="1"/>
    </xf>
    <xf numFmtId="164" fontId="0" fillId="0" borderId="0" xfId="1" applyNumberFormat="1" applyFont="1"/>
    <xf numFmtId="0" fontId="0" fillId="2" borderId="0" xfId="0" applyFill="1"/>
    <xf numFmtId="164" fontId="0" fillId="0" borderId="0" xfId="0" applyNumberFormat="1"/>
    <xf numFmtId="6" fontId="0" fillId="0" borderId="0" xfId="0" applyNumberFormat="1"/>
    <xf numFmtId="44" fontId="0" fillId="0" borderId="0" xfId="0" applyNumberFormat="1"/>
    <xf numFmtId="9" fontId="0" fillId="0" borderId="0" xfId="2" applyFont="1"/>
    <xf numFmtId="0" fontId="0" fillId="3" borderId="0" xfId="0" applyFill="1"/>
    <xf numFmtId="3" fontId="0" fillId="3" borderId="0" xfId="0" applyNumberFormat="1" applyFill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4" fillId="0" borderId="0" xfId="0" applyFont="1"/>
    <xf numFmtId="9" fontId="4" fillId="0" borderId="0" xfId="2" applyFont="1"/>
    <xf numFmtId="0" fontId="0" fillId="4" borderId="0" xfId="0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AD42D-51EA-4DF0-9D0E-3E84E999BAE4}">
  <dimension ref="A1:G63"/>
  <sheetViews>
    <sheetView tabSelected="1" zoomScale="70" zoomScaleNormal="70" workbookViewId="0">
      <selection activeCell="U41" sqref="U41"/>
    </sheetView>
  </sheetViews>
  <sheetFormatPr defaultColWidth="11" defaultRowHeight="15.5" x14ac:dyDescent="0.35"/>
  <cols>
    <col min="2" max="2" width="39" customWidth="1"/>
    <col min="5" max="5" width="36.83203125" customWidth="1"/>
    <col min="7" max="7" width="26.1640625" customWidth="1"/>
  </cols>
  <sheetData>
    <row r="1" spans="1:5" x14ac:dyDescent="0.35">
      <c r="A1" t="s">
        <v>87</v>
      </c>
    </row>
    <row r="2" spans="1:5" x14ac:dyDescent="0.35">
      <c r="A2" s="1" t="s">
        <v>72</v>
      </c>
      <c r="B2" s="1" t="s">
        <v>0</v>
      </c>
      <c r="C2" s="1" t="s">
        <v>2</v>
      </c>
      <c r="D2" s="1"/>
      <c r="E2" s="1" t="s">
        <v>3</v>
      </c>
    </row>
    <row r="3" spans="1:5" x14ac:dyDescent="0.35">
      <c r="A3" t="s">
        <v>41</v>
      </c>
      <c r="B3" t="s">
        <v>1</v>
      </c>
      <c r="C3">
        <f>51.062+13.962</f>
        <v>65.024000000000001</v>
      </c>
      <c r="E3" t="s">
        <v>88</v>
      </c>
    </row>
    <row r="4" spans="1:5" x14ac:dyDescent="0.35">
      <c r="B4" t="s">
        <v>4</v>
      </c>
      <c r="C4" s="11">
        <f>1.679+1.55</f>
        <v>3.2290000000000001</v>
      </c>
      <c r="E4" t="s">
        <v>93</v>
      </c>
    </row>
    <row r="5" spans="1:5" x14ac:dyDescent="0.35">
      <c r="B5" t="s">
        <v>6</v>
      </c>
      <c r="C5" s="11">
        <f>15.6 +14.401</f>
        <v>30.000999999999998</v>
      </c>
      <c r="E5" t="s">
        <v>91</v>
      </c>
    </row>
    <row r="6" spans="1:5" x14ac:dyDescent="0.35">
      <c r="B6" t="s">
        <v>8</v>
      </c>
      <c r="C6">
        <f>5.571+0.054+0.049+7.849+5.317</f>
        <v>18.84</v>
      </c>
      <c r="E6" t="s">
        <v>92</v>
      </c>
    </row>
    <row r="7" spans="1:5" x14ac:dyDescent="0.35">
      <c r="B7" t="s">
        <v>10</v>
      </c>
      <c r="C7">
        <f>12.451+22.022+0.362+2.043</f>
        <v>36.878</v>
      </c>
      <c r="E7" t="s">
        <v>11</v>
      </c>
    </row>
    <row r="8" spans="1:5" x14ac:dyDescent="0.35">
      <c r="B8" t="s">
        <v>12</v>
      </c>
      <c r="C8">
        <f>7.541+1.347+3.583+1.738</f>
        <v>14.209</v>
      </c>
      <c r="E8" t="s">
        <v>13</v>
      </c>
    </row>
    <row r="9" spans="1:5" x14ac:dyDescent="0.35">
      <c r="B9" t="s">
        <v>14</v>
      </c>
      <c r="C9" s="11">
        <f>6.255+15.933+14.699</f>
        <v>36.887</v>
      </c>
      <c r="E9" t="s">
        <v>94</v>
      </c>
    </row>
    <row r="10" spans="1:5" x14ac:dyDescent="0.35">
      <c r="B10" t="s">
        <v>17</v>
      </c>
      <c r="C10" s="11">
        <f>11.178+50.858+0.624+2.946</f>
        <v>65.606000000000009</v>
      </c>
      <c r="E10" t="s">
        <v>62</v>
      </c>
    </row>
    <row r="11" spans="1:5" x14ac:dyDescent="0.35">
      <c r="B11" s="1" t="s">
        <v>60</v>
      </c>
      <c r="C11">
        <f>SUM(C3:C10)</f>
        <v>270.67399999999998</v>
      </c>
    </row>
    <row r="12" spans="1:5" x14ac:dyDescent="0.35">
      <c r="B12" s="1"/>
    </row>
    <row r="14" spans="1:5" x14ac:dyDescent="0.35">
      <c r="B14" t="s">
        <v>16</v>
      </c>
      <c r="C14">
        <v>11.718999999999999</v>
      </c>
    </row>
    <row r="15" spans="1:5" x14ac:dyDescent="0.35">
      <c r="C15" s="3" t="s">
        <v>21</v>
      </c>
      <c r="D15" s="3" t="s">
        <v>22</v>
      </c>
    </row>
    <row r="16" spans="1:5" x14ac:dyDescent="0.35">
      <c r="A16" t="s">
        <v>29</v>
      </c>
      <c r="B16" t="s">
        <v>18</v>
      </c>
      <c r="C16" s="11">
        <f>15.308+1.4</f>
        <v>16.707999999999998</v>
      </c>
      <c r="D16" s="12">
        <f>17.07+1.4</f>
        <v>18.47</v>
      </c>
      <c r="E16" t="s">
        <v>19</v>
      </c>
    </row>
    <row r="17" spans="1:6" x14ac:dyDescent="0.35">
      <c r="B17" t="s">
        <v>20</v>
      </c>
      <c r="C17">
        <f>1+1.977+0.5+9.6+0.1</f>
        <v>13.177</v>
      </c>
      <c r="D17">
        <f>1+1.977+0.5+9.7+0.1</f>
        <v>13.276999999999999</v>
      </c>
      <c r="E17" t="s">
        <v>23</v>
      </c>
    </row>
    <row r="18" spans="1:6" x14ac:dyDescent="0.35">
      <c r="B18" t="s">
        <v>68</v>
      </c>
      <c r="C18">
        <f>2.145+0.545+2+0.1</f>
        <v>4.7899999999999991</v>
      </c>
      <c r="D18">
        <f>2.15+0.55+2.2+0.1</f>
        <v>5</v>
      </c>
      <c r="E18" t="s">
        <v>24</v>
      </c>
    </row>
    <row r="19" spans="1:6" x14ac:dyDescent="0.35">
      <c r="A19" t="s">
        <v>30</v>
      </c>
      <c r="B19" t="s">
        <v>28</v>
      </c>
      <c r="C19">
        <v>1.4650000000000001</v>
      </c>
      <c r="D19">
        <v>1.5</v>
      </c>
      <c r="E19" t="s">
        <v>25</v>
      </c>
    </row>
    <row r="20" spans="1:6" x14ac:dyDescent="0.35">
      <c r="A20" t="s">
        <v>31</v>
      </c>
      <c r="B20" t="s">
        <v>26</v>
      </c>
      <c r="C20" s="11">
        <v>3.5840000000000001</v>
      </c>
      <c r="D20" s="14">
        <v>3.6070000000000002</v>
      </c>
      <c r="E20" t="s">
        <v>27</v>
      </c>
    </row>
    <row r="21" spans="1:6" x14ac:dyDescent="0.35">
      <c r="A21" t="s">
        <v>32</v>
      </c>
      <c r="B21" t="s">
        <v>33</v>
      </c>
      <c r="C21">
        <f>4.3+4.5+0.2+0.905</f>
        <v>9.9049999999999994</v>
      </c>
      <c r="D21">
        <f>4.3+4.5+0.2+1</f>
        <v>10</v>
      </c>
      <c r="E21" t="s">
        <v>36</v>
      </c>
    </row>
    <row r="22" spans="1:6" x14ac:dyDescent="0.35">
      <c r="B22" t="s">
        <v>34</v>
      </c>
      <c r="C22" s="13">
        <v>3.34</v>
      </c>
      <c r="D22">
        <v>4.33</v>
      </c>
      <c r="E22" t="s">
        <v>35</v>
      </c>
    </row>
    <row r="23" spans="1:6" x14ac:dyDescent="0.35">
      <c r="B23" t="s">
        <v>37</v>
      </c>
      <c r="C23">
        <f>0.92+2</f>
        <v>2.92</v>
      </c>
      <c r="D23">
        <f>3+2</f>
        <v>5</v>
      </c>
      <c r="E23" t="s">
        <v>38</v>
      </c>
    </row>
    <row r="24" spans="1:6" x14ac:dyDescent="0.35">
      <c r="B24" t="s">
        <v>39</v>
      </c>
      <c r="C24" s="18">
        <f>3.495+0.075</f>
        <v>3.5700000000000003</v>
      </c>
      <c r="D24">
        <f>5.1+0.075</f>
        <v>5.1749999999999998</v>
      </c>
      <c r="E24" t="s">
        <v>40</v>
      </c>
      <c r="F24" t="s">
        <v>90</v>
      </c>
    </row>
    <row r="25" spans="1:6" x14ac:dyDescent="0.35">
      <c r="B25" t="s">
        <v>42</v>
      </c>
      <c r="C25" s="14">
        <f>1.46+0.725+0.1</f>
        <v>2.2850000000000001</v>
      </c>
      <c r="D25" s="15">
        <f>2.03+0.76+0.1</f>
        <v>2.89</v>
      </c>
      <c r="E25" t="s">
        <v>43</v>
      </c>
    </row>
    <row r="26" spans="1:6" x14ac:dyDescent="0.35">
      <c r="B26" t="s">
        <v>44</v>
      </c>
      <c r="C26" s="15">
        <f>5.25</f>
        <v>5.25</v>
      </c>
      <c r="D26" s="14">
        <v>5.8120000000000003</v>
      </c>
      <c r="E26" t="s">
        <v>45</v>
      </c>
    </row>
    <row r="27" spans="1:6" x14ac:dyDescent="0.35">
      <c r="B27" t="s">
        <v>47</v>
      </c>
      <c r="C27">
        <f>0.01+2+0.7</f>
        <v>2.71</v>
      </c>
      <c r="D27">
        <f>0.01+2+0.7</f>
        <v>2.71</v>
      </c>
      <c r="E27" t="s">
        <v>46</v>
      </c>
    </row>
    <row r="28" spans="1:6" x14ac:dyDescent="0.35">
      <c r="B28" t="s">
        <v>48</v>
      </c>
      <c r="C28" s="11">
        <f>35.136-SUM(C21:C27)</f>
        <v>5.1560000000000024</v>
      </c>
      <c r="D28" s="11">
        <f>41.473-SUM(D21:D27)</f>
        <v>5.5559999999999974</v>
      </c>
      <c r="E28" t="s">
        <v>49</v>
      </c>
    </row>
    <row r="29" spans="1:6" x14ac:dyDescent="0.35">
      <c r="A29" t="s">
        <v>52</v>
      </c>
      <c r="B29" t="s">
        <v>50</v>
      </c>
      <c r="C29" s="11">
        <f>41.87-C30</f>
        <v>21.889999999999997</v>
      </c>
      <c r="D29" s="11">
        <f>50.45-D30</f>
        <v>23.450000000000003</v>
      </c>
    </row>
    <row r="30" spans="1:6" x14ac:dyDescent="0.35">
      <c r="B30" t="s">
        <v>51</v>
      </c>
      <c r="C30">
        <v>19.98</v>
      </c>
      <c r="D30">
        <v>27</v>
      </c>
      <c r="E30" t="s">
        <v>53</v>
      </c>
    </row>
    <row r="31" spans="1:6" x14ac:dyDescent="0.35">
      <c r="A31" t="s">
        <v>54</v>
      </c>
      <c r="B31" t="s">
        <v>55</v>
      </c>
      <c r="C31" s="14">
        <v>3.976</v>
      </c>
      <c r="D31">
        <v>3.915</v>
      </c>
      <c r="E31" t="s">
        <v>56</v>
      </c>
    </row>
    <row r="32" spans="1:6" x14ac:dyDescent="0.35">
      <c r="A32" t="s">
        <v>58</v>
      </c>
      <c r="B32" t="s">
        <v>57</v>
      </c>
      <c r="C32">
        <v>0.42299999999999999</v>
      </c>
      <c r="D32">
        <v>0.42299999999999999</v>
      </c>
    </row>
    <row r="33" spans="1:7" x14ac:dyDescent="0.35">
      <c r="B33" s="1" t="s">
        <v>61</v>
      </c>
      <c r="C33">
        <f>SUM(C16:C32)</f>
        <v>121.12900000000002</v>
      </c>
      <c r="D33">
        <f>SUM(D16:D32)</f>
        <v>138.11499999999998</v>
      </c>
    </row>
    <row r="35" spans="1:7" x14ac:dyDescent="0.35">
      <c r="A35" s="6" t="s">
        <v>74</v>
      </c>
      <c r="B35" s="6"/>
      <c r="C35" s="6"/>
      <c r="D35" s="6"/>
      <c r="E35" s="6"/>
    </row>
    <row r="36" spans="1:7" x14ac:dyDescent="0.35">
      <c r="A36" t="s">
        <v>65</v>
      </c>
      <c r="C36" t="s">
        <v>76</v>
      </c>
      <c r="F36" s="16" t="s">
        <v>85</v>
      </c>
      <c r="G36" s="16" t="s">
        <v>86</v>
      </c>
    </row>
    <row r="37" spans="1:7" ht="31" x14ac:dyDescent="0.35">
      <c r="B37" s="4" t="s">
        <v>73</v>
      </c>
      <c r="C37" s="5">
        <f>C3+C10</f>
        <v>130.63</v>
      </c>
      <c r="F37" s="17">
        <f>C37/SUM($C$37:$C$52)</f>
        <v>0.16670367506119141</v>
      </c>
      <c r="G37" s="17">
        <f>C37/SUM($C$37:$C$43)</f>
        <v>0.48261007706687742</v>
      </c>
    </row>
    <row r="38" spans="1:7" ht="31" x14ac:dyDescent="0.35">
      <c r="B38" s="4" t="s">
        <v>64</v>
      </c>
      <c r="C38" s="5">
        <f>C4</f>
        <v>3.2290000000000001</v>
      </c>
      <c r="F38" s="17">
        <f t="shared" ref="F38:F52" si="0">C38/SUM($C$37:$C$52)</f>
        <v>4.1206933076061176E-3</v>
      </c>
      <c r="G38" s="17">
        <f t="shared" ref="G38:G43" si="1">C38/SUM($C$37:$C$43)</f>
        <v>1.1929479743159667E-2</v>
      </c>
    </row>
    <row r="39" spans="1:7" x14ac:dyDescent="0.35">
      <c r="B39" t="s">
        <v>82</v>
      </c>
      <c r="C39" s="5">
        <f>C5</f>
        <v>30.000999999999998</v>
      </c>
      <c r="F39" s="17">
        <f t="shared" si="0"/>
        <v>3.828582221167269E-2</v>
      </c>
      <c r="G39" s="17">
        <f t="shared" si="1"/>
        <v>0.11083813000140388</v>
      </c>
    </row>
    <row r="40" spans="1:7" x14ac:dyDescent="0.35">
      <c r="B40" t="s">
        <v>8</v>
      </c>
      <c r="C40" s="5">
        <f>C6</f>
        <v>18.84</v>
      </c>
      <c r="F40" s="17">
        <f t="shared" si="0"/>
        <v>2.4042694925766259E-2</v>
      </c>
      <c r="G40" s="17">
        <f t="shared" si="1"/>
        <v>6.9604025506698086E-2</v>
      </c>
    </row>
    <row r="41" spans="1:7" x14ac:dyDescent="0.35">
      <c r="B41" t="s">
        <v>10</v>
      </c>
      <c r="C41" s="5">
        <f t="shared" ref="C41:C43" si="2">C7</f>
        <v>36.878</v>
      </c>
      <c r="F41" s="17">
        <f t="shared" si="0"/>
        <v>4.7061916320191514E-2</v>
      </c>
      <c r="G41" s="17">
        <f t="shared" si="1"/>
        <v>0.1362450771038223</v>
      </c>
    </row>
    <row r="42" spans="1:7" x14ac:dyDescent="0.35">
      <c r="B42" t="s">
        <v>12</v>
      </c>
      <c r="C42" s="5">
        <f t="shared" si="2"/>
        <v>14.209</v>
      </c>
      <c r="F42" s="17">
        <f t="shared" si="0"/>
        <v>1.8132837165616388E-2</v>
      </c>
      <c r="G42" s="17">
        <f t="shared" si="1"/>
        <v>5.2494883143560142E-2</v>
      </c>
    </row>
    <row r="43" spans="1:7" x14ac:dyDescent="0.35">
      <c r="B43" t="s">
        <v>14</v>
      </c>
      <c r="C43" s="5">
        <f t="shared" si="2"/>
        <v>36.887</v>
      </c>
      <c r="F43" s="17">
        <f t="shared" si="0"/>
        <v>4.7073401684009551E-2</v>
      </c>
      <c r="G43" s="17">
        <f t="shared" si="1"/>
        <v>0.13627832743447835</v>
      </c>
    </row>
    <row r="44" spans="1:7" x14ac:dyDescent="0.35">
      <c r="B44" t="s">
        <v>66</v>
      </c>
      <c r="C44" s="5">
        <f>SUM(C37:C43)</f>
        <v>270.67400000000004</v>
      </c>
      <c r="E44" t="s">
        <v>71</v>
      </c>
      <c r="F44" s="17">
        <f t="shared" si="0"/>
        <v>0.345421040676054</v>
      </c>
      <c r="G44" s="17">
        <f>C44/SUM($C$37:$C$43)</f>
        <v>1</v>
      </c>
    </row>
    <row r="45" spans="1:7" x14ac:dyDescent="0.35">
      <c r="F45" s="17"/>
      <c r="G45" s="16"/>
    </row>
    <row r="46" spans="1:7" x14ac:dyDescent="0.35">
      <c r="A46" t="s">
        <v>67</v>
      </c>
      <c r="F46" s="17"/>
      <c r="G46" s="16"/>
    </row>
    <row r="47" spans="1:7" ht="31" x14ac:dyDescent="0.35">
      <c r="B47" s="4" t="s">
        <v>70</v>
      </c>
      <c r="C47" s="5">
        <f>C16+C18</f>
        <v>21.497999999999998</v>
      </c>
      <c r="F47" s="17">
        <f t="shared" si="0"/>
        <v>2.7434705706694425E-2</v>
      </c>
      <c r="G47" s="16"/>
    </row>
    <row r="48" spans="1:7" x14ac:dyDescent="0.35">
      <c r="B48" t="s">
        <v>89</v>
      </c>
      <c r="C48" s="5">
        <f>C17+C22</f>
        <v>16.516999999999999</v>
      </c>
      <c r="F48" s="17">
        <f t="shared" si="0"/>
        <v>2.1078194909176288E-2</v>
      </c>
      <c r="G48" s="16"/>
    </row>
    <row r="49" spans="1:7" x14ac:dyDescent="0.35">
      <c r="B49" t="s">
        <v>33</v>
      </c>
      <c r="C49" s="5">
        <f>C19+C21</f>
        <v>11.37</v>
      </c>
      <c r="F49" s="17">
        <f t="shared" si="0"/>
        <v>1.4509842956792056E-2</v>
      </c>
      <c r="G49" s="16"/>
    </row>
    <row r="50" spans="1:7" x14ac:dyDescent="0.35">
      <c r="B50" t="s">
        <v>84</v>
      </c>
      <c r="C50" s="5">
        <f>C26</f>
        <v>5.25</v>
      </c>
      <c r="F50" s="17">
        <f t="shared" si="0"/>
        <v>6.6997955605240366E-3</v>
      </c>
      <c r="G50" s="16"/>
    </row>
    <row r="51" spans="1:7" x14ac:dyDescent="0.35">
      <c r="B51" t="s">
        <v>69</v>
      </c>
      <c r="C51" s="5">
        <f>C20+C23+C24+C25+C27+C28+C29+C30+C31+C32</f>
        <v>66.494</v>
      </c>
      <c r="F51" s="17">
        <f t="shared" si="0"/>
        <v>8.4856420190759105E-2</v>
      </c>
      <c r="G51" s="16"/>
    </row>
    <row r="52" spans="1:7" x14ac:dyDescent="0.35">
      <c r="B52" t="s">
        <v>66</v>
      </c>
      <c r="C52" s="5">
        <f>SUM(C47:C51)</f>
        <v>121.12899999999999</v>
      </c>
      <c r="D52" s="9"/>
      <c r="F52" s="17">
        <f t="shared" si="0"/>
        <v>0.15457895932394591</v>
      </c>
      <c r="G52" s="16"/>
    </row>
    <row r="53" spans="1:7" x14ac:dyDescent="0.35">
      <c r="C53" s="7">
        <f>C52+C44</f>
        <v>391.803</v>
      </c>
    </row>
    <row r="54" spans="1:7" x14ac:dyDescent="0.35">
      <c r="A54" s="6" t="s">
        <v>81</v>
      </c>
      <c r="B54" s="6"/>
      <c r="C54" s="6"/>
      <c r="D54" s="6"/>
      <c r="E54" s="6"/>
    </row>
    <row r="55" spans="1:7" x14ac:dyDescent="0.35">
      <c r="D55" t="s">
        <v>77</v>
      </c>
    </row>
    <row r="56" spans="1:7" x14ac:dyDescent="0.35">
      <c r="C56" t="s">
        <v>76</v>
      </c>
      <c r="D56" t="s">
        <v>78</v>
      </c>
      <c r="E56" t="s">
        <v>80</v>
      </c>
      <c r="F56" t="s">
        <v>79</v>
      </c>
    </row>
    <row r="57" spans="1:7" x14ac:dyDescent="0.35">
      <c r="A57" t="s">
        <v>75</v>
      </c>
      <c r="C57" s="7">
        <f>+C37+C48</f>
        <v>147.14699999999999</v>
      </c>
    </row>
    <row r="58" spans="1:7" x14ac:dyDescent="0.35">
      <c r="A58" t="str">
        <f>B38</f>
        <v>Production Tax Credit for Carbon Capture and Sequestration</v>
      </c>
      <c r="C58" s="7">
        <f>C38</f>
        <v>3.2290000000000001</v>
      </c>
    </row>
    <row r="59" spans="1:7" x14ac:dyDescent="0.35">
      <c r="A59" t="str">
        <f>B39</f>
        <v>Nuclear Power Production Tax Credit</v>
      </c>
      <c r="C59" s="7">
        <f>C39</f>
        <v>30.000999999999998</v>
      </c>
    </row>
    <row r="60" spans="1:7" x14ac:dyDescent="0.35">
      <c r="A60" t="str">
        <f>B50</f>
        <v>Industrial Decarbonization</v>
      </c>
      <c r="C60" s="7">
        <f>C50</f>
        <v>5.25</v>
      </c>
    </row>
    <row r="61" spans="1:7" x14ac:dyDescent="0.35">
      <c r="A61" t="str">
        <f>B42</f>
        <v>Clean Vehicles</v>
      </c>
      <c r="C61" s="7">
        <f>C42</f>
        <v>14.209</v>
      </c>
    </row>
    <row r="63" spans="1:7" x14ac:dyDescent="0.35">
      <c r="A63" t="s">
        <v>59</v>
      </c>
      <c r="C63" s="7"/>
      <c r="F63" s="8">
        <v>1000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9860A-24B4-B74C-AC2F-4AF458AFDC0F}">
  <dimension ref="A1:G63"/>
  <sheetViews>
    <sheetView zoomScale="85" zoomScaleNormal="85" workbookViewId="0"/>
  </sheetViews>
  <sheetFormatPr defaultColWidth="11" defaultRowHeight="15.5" x14ac:dyDescent="0.35"/>
  <cols>
    <col min="2" max="2" width="39" customWidth="1"/>
    <col min="5" max="5" width="36.83203125" customWidth="1"/>
    <col min="7" max="7" width="26.1640625" customWidth="1"/>
  </cols>
  <sheetData>
    <row r="1" spans="1:5" x14ac:dyDescent="0.35">
      <c r="A1" t="s">
        <v>83</v>
      </c>
    </row>
    <row r="2" spans="1:5" x14ac:dyDescent="0.35">
      <c r="A2" s="1" t="s">
        <v>72</v>
      </c>
      <c r="B2" s="1" t="s">
        <v>0</v>
      </c>
      <c r="C2" s="1" t="s">
        <v>2</v>
      </c>
      <c r="D2" s="1"/>
      <c r="E2" s="1" t="s">
        <v>3</v>
      </c>
    </row>
    <row r="3" spans="1:5" x14ac:dyDescent="0.35">
      <c r="A3" t="s">
        <v>41</v>
      </c>
      <c r="B3" t="s">
        <v>1</v>
      </c>
      <c r="C3">
        <f>51.062+13.962</f>
        <v>65.024000000000001</v>
      </c>
      <c r="E3" t="s">
        <v>63</v>
      </c>
    </row>
    <row r="4" spans="1:5" x14ac:dyDescent="0.35">
      <c r="B4" t="s">
        <v>4</v>
      </c>
      <c r="C4">
        <v>3.2290000000000001</v>
      </c>
      <c r="E4" t="s">
        <v>5</v>
      </c>
    </row>
    <row r="5" spans="1:5" x14ac:dyDescent="0.35">
      <c r="B5" t="s">
        <v>6</v>
      </c>
      <c r="C5">
        <v>30.001000000000001</v>
      </c>
      <c r="E5" t="s">
        <v>7</v>
      </c>
    </row>
    <row r="6" spans="1:5" x14ac:dyDescent="0.35">
      <c r="B6" t="s">
        <v>8</v>
      </c>
      <c r="C6">
        <f>5.571+0.054+0.049+7.849</f>
        <v>13.523</v>
      </c>
      <c r="E6" t="s">
        <v>9</v>
      </c>
    </row>
    <row r="7" spans="1:5" x14ac:dyDescent="0.35">
      <c r="B7" t="s">
        <v>10</v>
      </c>
      <c r="C7">
        <f>12.451+22.022+0.362+2.043</f>
        <v>36.878</v>
      </c>
      <c r="E7" t="s">
        <v>11</v>
      </c>
    </row>
    <row r="8" spans="1:5" x14ac:dyDescent="0.35">
      <c r="B8" t="s">
        <v>12</v>
      </c>
      <c r="C8">
        <f>7.541+1.347+3.583+1.738</f>
        <v>14.209</v>
      </c>
      <c r="E8" t="s">
        <v>13</v>
      </c>
    </row>
    <row r="9" spans="1:5" x14ac:dyDescent="0.35">
      <c r="B9" t="s">
        <v>14</v>
      </c>
      <c r="C9">
        <f>6.255+30.622</f>
        <v>36.877000000000002</v>
      </c>
      <c r="E9" t="s">
        <v>15</v>
      </c>
    </row>
    <row r="10" spans="1:5" x14ac:dyDescent="0.35">
      <c r="B10" t="s">
        <v>17</v>
      </c>
      <c r="C10">
        <f>11.204+50.858+0.624+2.946</f>
        <v>65.632000000000005</v>
      </c>
      <c r="E10" t="s">
        <v>62</v>
      </c>
    </row>
    <row r="11" spans="1:5" x14ac:dyDescent="0.35">
      <c r="B11" s="1" t="s">
        <v>60</v>
      </c>
      <c r="C11">
        <f>SUM(C3:C10)</f>
        <v>265.37300000000005</v>
      </c>
    </row>
    <row r="14" spans="1:5" x14ac:dyDescent="0.35">
      <c r="B14" t="s">
        <v>16</v>
      </c>
      <c r="C14">
        <v>11.718999999999999</v>
      </c>
    </row>
    <row r="15" spans="1:5" x14ac:dyDescent="0.35">
      <c r="C15" s="3" t="s">
        <v>21</v>
      </c>
      <c r="D15" s="3" t="s">
        <v>22</v>
      </c>
    </row>
    <row r="16" spans="1:5" x14ac:dyDescent="0.35">
      <c r="A16" t="s">
        <v>29</v>
      </c>
      <c r="B16" t="s">
        <v>18</v>
      </c>
      <c r="C16">
        <f>15.314+1.4</f>
        <v>16.713999999999999</v>
      </c>
      <c r="D16" s="2">
        <f>18.767+1.4</f>
        <v>20.166999999999998</v>
      </c>
      <c r="E16" t="s">
        <v>19</v>
      </c>
    </row>
    <row r="17" spans="1:5" x14ac:dyDescent="0.35">
      <c r="B17" t="s">
        <v>20</v>
      </c>
      <c r="C17">
        <f>1+1.977+0.5+9.6+0.1</f>
        <v>13.177</v>
      </c>
      <c r="D17">
        <f>1+1.977+0.5+9.7+0.1</f>
        <v>13.276999999999999</v>
      </c>
      <c r="E17" t="s">
        <v>23</v>
      </c>
    </row>
    <row r="18" spans="1:5" x14ac:dyDescent="0.35">
      <c r="B18" t="s">
        <v>68</v>
      </c>
      <c r="C18">
        <f>2.145+0.545+2+0.1</f>
        <v>4.7899999999999991</v>
      </c>
      <c r="D18">
        <f>2.15+0.55+2.2+0.1</f>
        <v>5</v>
      </c>
      <c r="E18" t="s">
        <v>24</v>
      </c>
    </row>
    <row r="19" spans="1:5" x14ac:dyDescent="0.35">
      <c r="A19" t="s">
        <v>30</v>
      </c>
      <c r="B19" t="s">
        <v>28</v>
      </c>
      <c r="C19">
        <v>1.4650000000000001</v>
      </c>
      <c r="D19">
        <v>1.5</v>
      </c>
      <c r="E19" t="s">
        <v>25</v>
      </c>
    </row>
    <row r="20" spans="1:5" x14ac:dyDescent="0.35">
      <c r="A20" t="s">
        <v>31</v>
      </c>
      <c r="B20" t="s">
        <v>26</v>
      </c>
      <c r="C20">
        <v>3.5539999999999998</v>
      </c>
      <c r="D20" s="2">
        <v>3.6070000000000002</v>
      </c>
      <c r="E20" t="s">
        <v>27</v>
      </c>
    </row>
    <row r="21" spans="1:5" x14ac:dyDescent="0.35">
      <c r="A21" t="s">
        <v>32</v>
      </c>
      <c r="B21" t="s">
        <v>33</v>
      </c>
      <c r="C21">
        <f>4.3+4.5+0.2+0.905</f>
        <v>9.9049999999999994</v>
      </c>
      <c r="D21">
        <f>4.3+4.5+0.2+1</f>
        <v>10</v>
      </c>
      <c r="E21" t="s">
        <v>36</v>
      </c>
    </row>
    <row r="22" spans="1:5" x14ac:dyDescent="0.35">
      <c r="B22" t="s">
        <v>34</v>
      </c>
      <c r="C22" s="2">
        <v>3.34</v>
      </c>
      <c r="D22">
        <v>4.33</v>
      </c>
      <c r="E22" t="s">
        <v>35</v>
      </c>
    </row>
    <row r="23" spans="1:5" x14ac:dyDescent="0.35">
      <c r="B23" t="s">
        <v>37</v>
      </c>
      <c r="C23">
        <f>0.92+2</f>
        <v>2.92</v>
      </c>
      <c r="D23">
        <f>3+2</f>
        <v>5</v>
      </c>
      <c r="E23" t="s">
        <v>38</v>
      </c>
    </row>
    <row r="24" spans="1:5" x14ac:dyDescent="0.35">
      <c r="B24" t="s">
        <v>39</v>
      </c>
      <c r="C24">
        <f>3.495+0.075</f>
        <v>3.5700000000000003</v>
      </c>
      <c r="D24">
        <f>5.1+0.075</f>
        <v>5.1749999999999998</v>
      </c>
      <c r="E24" t="s">
        <v>40</v>
      </c>
    </row>
    <row r="25" spans="1:5" x14ac:dyDescent="0.35">
      <c r="B25" t="s">
        <v>42</v>
      </c>
      <c r="C25" s="2">
        <f>1.46+0.725+0.1</f>
        <v>2.2850000000000001</v>
      </c>
      <c r="D25">
        <f>2.03+0.76+0.1</f>
        <v>2.89</v>
      </c>
      <c r="E25" t="s">
        <v>43</v>
      </c>
    </row>
    <row r="26" spans="1:5" x14ac:dyDescent="0.35">
      <c r="B26" t="s">
        <v>44</v>
      </c>
      <c r="C26">
        <f>5.25</f>
        <v>5.25</v>
      </c>
      <c r="D26" s="2">
        <v>5.8120000000000003</v>
      </c>
      <c r="E26" t="s">
        <v>45</v>
      </c>
    </row>
    <row r="27" spans="1:5" x14ac:dyDescent="0.35">
      <c r="B27" t="s">
        <v>47</v>
      </c>
      <c r="C27">
        <f>0.01+2+0.7</f>
        <v>2.71</v>
      </c>
      <c r="D27">
        <f>0.01+2+0.7</f>
        <v>2.71</v>
      </c>
      <c r="E27" t="s">
        <v>46</v>
      </c>
    </row>
    <row r="28" spans="1:5" x14ac:dyDescent="0.35">
      <c r="B28" t="s">
        <v>48</v>
      </c>
      <c r="C28">
        <f>31.336-SUM(C21:C27)</f>
        <v>1.3559999999999981</v>
      </c>
      <c r="D28">
        <f>37.273-SUM(D21:D27)</f>
        <v>1.3560000000000016</v>
      </c>
      <c r="E28" t="s">
        <v>49</v>
      </c>
    </row>
    <row r="29" spans="1:5" x14ac:dyDescent="0.35">
      <c r="A29" t="s">
        <v>52</v>
      </c>
      <c r="B29" t="s">
        <v>50</v>
      </c>
      <c r="C29">
        <f>24.241-C30</f>
        <v>4.2609999999999992</v>
      </c>
      <c r="D29">
        <f>50.335-D30</f>
        <v>23.335000000000001</v>
      </c>
    </row>
    <row r="30" spans="1:5" x14ac:dyDescent="0.35">
      <c r="B30" t="s">
        <v>51</v>
      </c>
      <c r="C30">
        <v>19.98</v>
      </c>
      <c r="D30">
        <v>27</v>
      </c>
      <c r="E30" t="s">
        <v>53</v>
      </c>
    </row>
    <row r="31" spans="1:5" x14ac:dyDescent="0.35">
      <c r="A31" t="s">
        <v>54</v>
      </c>
      <c r="B31" t="s">
        <v>55</v>
      </c>
      <c r="C31" s="2">
        <v>3.976</v>
      </c>
      <c r="D31">
        <v>3.915</v>
      </c>
      <c r="E31" t="s">
        <v>56</v>
      </c>
    </row>
    <row r="32" spans="1:5" x14ac:dyDescent="0.35">
      <c r="A32" t="s">
        <v>58</v>
      </c>
      <c r="B32" t="s">
        <v>57</v>
      </c>
      <c r="C32">
        <v>0.42299999999999999</v>
      </c>
      <c r="D32">
        <v>0.42299999999999999</v>
      </c>
    </row>
    <row r="33" spans="1:7" x14ac:dyDescent="0.35">
      <c r="B33" s="1" t="s">
        <v>61</v>
      </c>
      <c r="C33">
        <f>SUM(C16:C32)</f>
        <v>99.676000000000002</v>
      </c>
      <c r="D33">
        <f>SUM(D16:D32)</f>
        <v>135.49699999999999</v>
      </c>
    </row>
    <row r="35" spans="1:7" x14ac:dyDescent="0.35">
      <c r="A35" s="6" t="s">
        <v>74</v>
      </c>
      <c r="B35" s="6"/>
      <c r="C35" s="6"/>
      <c r="D35" s="6"/>
      <c r="E35" s="6"/>
    </row>
    <row r="36" spans="1:7" x14ac:dyDescent="0.35">
      <c r="A36" t="s">
        <v>65</v>
      </c>
      <c r="C36" t="s">
        <v>76</v>
      </c>
      <c r="F36" t="s">
        <v>85</v>
      </c>
      <c r="G36" t="s">
        <v>86</v>
      </c>
    </row>
    <row r="37" spans="1:7" ht="31" x14ac:dyDescent="0.35">
      <c r="B37" s="4" t="s">
        <v>73</v>
      </c>
      <c r="C37" s="5">
        <f>C3+C10</f>
        <v>130.65600000000001</v>
      </c>
      <c r="F37" s="10">
        <f>C37/SUM($C$37:$C$52)</f>
        <v>0.17895679758059874</v>
      </c>
      <c r="G37" s="10">
        <f>C37/SUM($C$37:$C$43)</f>
        <v>0.49234850568821992</v>
      </c>
    </row>
    <row r="38" spans="1:7" ht="31" x14ac:dyDescent="0.35">
      <c r="B38" s="4" t="s">
        <v>64</v>
      </c>
      <c r="C38" s="5">
        <f>C4</f>
        <v>3.2290000000000001</v>
      </c>
      <c r="F38" s="10">
        <f t="shared" ref="F38:F52" si="0">C38/SUM($C$37:$C$52)</f>
        <v>4.4226939397176805E-3</v>
      </c>
      <c r="G38" s="10">
        <f t="shared" ref="G38:G43" si="1">C38/SUM($C$37:$C$43)</f>
        <v>1.216777893757089E-2</v>
      </c>
    </row>
    <row r="39" spans="1:7" x14ac:dyDescent="0.35">
      <c r="B39" t="s">
        <v>82</v>
      </c>
      <c r="C39" s="5">
        <f>C5</f>
        <v>30.001000000000001</v>
      </c>
      <c r="F39" s="10">
        <f t="shared" si="0"/>
        <v>4.1091743848086136E-2</v>
      </c>
      <c r="G39" s="10">
        <f t="shared" si="1"/>
        <v>0.11305219445836613</v>
      </c>
    </row>
    <row r="40" spans="1:7" x14ac:dyDescent="0.35">
      <c r="B40" t="s">
        <v>8</v>
      </c>
      <c r="C40" s="5">
        <f>C6</f>
        <v>13.523</v>
      </c>
      <c r="F40" s="10">
        <f t="shared" si="0"/>
        <v>1.8522170996222422E-2</v>
      </c>
      <c r="G40" s="10">
        <f t="shared" si="1"/>
        <v>5.0958462239941507E-2</v>
      </c>
    </row>
    <row r="41" spans="1:7" x14ac:dyDescent="0.35">
      <c r="B41" t="s">
        <v>10</v>
      </c>
      <c r="C41" s="5">
        <f t="shared" ref="C41:C43" si="2">C7</f>
        <v>36.878</v>
      </c>
      <c r="F41" s="10">
        <f t="shared" si="0"/>
        <v>5.0511027286747792E-2</v>
      </c>
      <c r="G41" s="10">
        <f t="shared" si="1"/>
        <v>0.13896666201912022</v>
      </c>
    </row>
    <row r="42" spans="1:7" x14ac:dyDescent="0.35">
      <c r="B42" t="s">
        <v>12</v>
      </c>
      <c r="C42" s="5">
        <f t="shared" si="2"/>
        <v>14.209</v>
      </c>
      <c r="F42" s="10">
        <f t="shared" si="0"/>
        <v>1.9461770885552346E-2</v>
      </c>
      <c r="G42" s="10">
        <f t="shared" si="1"/>
        <v>5.3543502918533527E-2</v>
      </c>
    </row>
    <row r="43" spans="1:7" x14ac:dyDescent="0.35">
      <c r="B43" t="s">
        <v>14</v>
      </c>
      <c r="C43" s="5">
        <f t="shared" si="2"/>
        <v>36.877000000000002</v>
      </c>
      <c r="F43" s="10">
        <f t="shared" si="0"/>
        <v>5.0509657607608831E-2</v>
      </c>
      <c r="G43" s="10">
        <f t="shared" si="1"/>
        <v>0.13896289373824766</v>
      </c>
    </row>
    <row r="44" spans="1:7" x14ac:dyDescent="0.35">
      <c r="B44" t="s">
        <v>66</v>
      </c>
      <c r="C44" s="5">
        <f>SUM(C37:C43)</f>
        <v>265.37300000000005</v>
      </c>
      <c r="E44" t="s">
        <v>71</v>
      </c>
      <c r="F44" s="10">
        <f t="shared" si="0"/>
        <v>0.36347586214453398</v>
      </c>
      <c r="G44" s="10">
        <f>C44/SUM($C$37:$C$43)</f>
        <v>1</v>
      </c>
    </row>
    <row r="45" spans="1:7" x14ac:dyDescent="0.35">
      <c r="F45" s="10"/>
    </row>
    <row r="46" spans="1:7" x14ac:dyDescent="0.35">
      <c r="A46" t="s">
        <v>67</v>
      </c>
      <c r="F46" s="10"/>
    </row>
    <row r="47" spans="1:7" ht="31" x14ac:dyDescent="0.35">
      <c r="B47" s="4" t="s">
        <v>70</v>
      </c>
      <c r="C47" s="5">
        <f>C16+C18</f>
        <v>21.503999999999998</v>
      </c>
      <c r="F47" s="10">
        <f t="shared" si="0"/>
        <v>2.9453580204301329E-2</v>
      </c>
    </row>
    <row r="48" spans="1:7" x14ac:dyDescent="0.35">
      <c r="B48" t="s">
        <v>20</v>
      </c>
      <c r="C48" s="5">
        <f>C17</f>
        <v>13.177</v>
      </c>
      <c r="F48" s="10">
        <f t="shared" si="0"/>
        <v>1.8048262014140563E-2</v>
      </c>
    </row>
    <row r="49" spans="1:6" x14ac:dyDescent="0.35">
      <c r="B49" t="s">
        <v>33</v>
      </c>
      <c r="C49" s="5">
        <f>C19+C21</f>
        <v>11.37</v>
      </c>
      <c r="F49" s="10">
        <f t="shared" si="0"/>
        <v>1.5573251810030978E-2</v>
      </c>
    </row>
    <row r="50" spans="1:6" x14ac:dyDescent="0.35">
      <c r="B50" t="s">
        <v>84</v>
      </c>
      <c r="C50" s="5">
        <f>C26</f>
        <v>5.25</v>
      </c>
      <c r="F50" s="10">
        <f t="shared" si="0"/>
        <v>7.1908154795657549E-3</v>
      </c>
    </row>
    <row r="51" spans="1:6" x14ac:dyDescent="0.35">
      <c r="B51" t="s">
        <v>69</v>
      </c>
      <c r="C51" s="5">
        <f>C20+C22+C23+C24+C25+C27+C28+C29+C30+C31+C32</f>
        <v>48.375</v>
      </c>
      <c r="F51" s="10">
        <f t="shared" si="0"/>
        <v>6.6258228347427311E-2</v>
      </c>
    </row>
    <row r="52" spans="1:6" x14ac:dyDescent="0.35">
      <c r="B52" t="s">
        <v>66</v>
      </c>
      <c r="C52" s="5">
        <f>SUM(C47:C51)</f>
        <v>99.675999999999988</v>
      </c>
      <c r="D52" s="9"/>
      <c r="F52" s="10">
        <f t="shared" si="0"/>
        <v>0.13652413785546594</v>
      </c>
    </row>
    <row r="54" spans="1:6" x14ac:dyDescent="0.35">
      <c r="A54" s="6" t="s">
        <v>81</v>
      </c>
      <c r="B54" s="6"/>
      <c r="C54" s="6"/>
      <c r="D54" s="6"/>
      <c r="E54" s="6"/>
    </row>
    <row r="55" spans="1:6" x14ac:dyDescent="0.35">
      <c r="D55" t="s">
        <v>77</v>
      </c>
    </row>
    <row r="56" spans="1:6" x14ac:dyDescent="0.35">
      <c r="C56" t="s">
        <v>76</v>
      </c>
      <c r="D56" t="s">
        <v>78</v>
      </c>
      <c r="E56" t="s">
        <v>80</v>
      </c>
      <c r="F56" t="s">
        <v>79</v>
      </c>
    </row>
    <row r="57" spans="1:6" x14ac:dyDescent="0.35">
      <c r="A57" t="s">
        <v>75</v>
      </c>
      <c r="C57" s="7">
        <f>+C37+C48</f>
        <v>143.833</v>
      </c>
    </row>
    <row r="58" spans="1:6" x14ac:dyDescent="0.35">
      <c r="A58" t="str">
        <f>B38</f>
        <v>Production Tax Credit for Carbon Capture and Sequestration</v>
      </c>
      <c r="C58" s="7">
        <f>C38</f>
        <v>3.2290000000000001</v>
      </c>
    </row>
    <row r="59" spans="1:6" x14ac:dyDescent="0.35">
      <c r="A59" t="str">
        <f>B39</f>
        <v>Nuclear Power Production Tax Credit</v>
      </c>
      <c r="C59" s="7">
        <f>C39</f>
        <v>30.001000000000001</v>
      </c>
    </row>
    <row r="60" spans="1:6" x14ac:dyDescent="0.35">
      <c r="A60" t="str">
        <f>B50</f>
        <v>Industrial Decarbonization</v>
      </c>
      <c r="C60" s="7">
        <f>C50</f>
        <v>5.25</v>
      </c>
    </row>
    <row r="61" spans="1:6" x14ac:dyDescent="0.35">
      <c r="A61" t="str">
        <f>B42</f>
        <v>Clean Vehicles</v>
      </c>
      <c r="C61" s="7">
        <f>C42</f>
        <v>14.209</v>
      </c>
    </row>
    <row r="63" spans="1:6" x14ac:dyDescent="0.35">
      <c r="A63" t="s">
        <v>59</v>
      </c>
      <c r="C63" s="7"/>
      <c r="F63" s="8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 (Sep. 7)</vt:lpstr>
      <vt:lpstr>Table 1 (Aug. 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Bistline, John</cp:lastModifiedBy>
  <dcterms:created xsi:type="dcterms:W3CDTF">2023-01-06T06:35:32Z</dcterms:created>
  <dcterms:modified xsi:type="dcterms:W3CDTF">2023-04-06T18:49:06Z</dcterms:modified>
</cp:coreProperties>
</file>