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brookingsinstitution.sharepoint.com/sites/MetroResearch/ATomer/_Communications/2021/Infra Bill and Reconciliation/"/>
    </mc:Choice>
  </mc:AlternateContent>
  <xr:revisionPtr revIDLastSave="19926" documentId="8_{322778A3-75FA-4D8A-89C0-75798AD1EF8A}" xr6:coauthVersionLast="45" xr6:coauthVersionMax="47" xr10:uidLastSave="{86C9A75E-8556-4FB8-A7E3-E4A44E74D3B0}"/>
  <bookViews>
    <workbookView xWindow="-120" yWindow="-120" windowWidth="25440" windowHeight="15390" tabRatio="738" xr2:uid="{00000000-000D-0000-FFFF-FFFF00000000}"/>
  </bookViews>
  <sheets>
    <sheet name="IIJA" sheetId="15" r:id="rId1"/>
  </sheets>
  <definedNames>
    <definedName name="_xlnm._FilterDatabase" localSheetId="0" hidden="1">IIJA!$A$1:$N$1</definedName>
    <definedName name="_Hlk93959474" localSheetId="0">IIJA!$C$312</definedName>
    <definedName name="_Hlk93959505" localSheetId="0">IIJA!$D$314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5" l="1"/>
  <c r="K145" i="15" l="1"/>
  <c r="K383" i="15" l="1"/>
  <c r="F383" i="15"/>
  <c r="K382" i="15"/>
  <c r="F382" i="15"/>
  <c r="L381" i="15"/>
  <c r="F381" i="15" s="1"/>
  <c r="K381" i="15"/>
  <c r="F378" i="15"/>
  <c r="F377" i="15"/>
  <c r="L375" i="15"/>
  <c r="F375" i="15"/>
  <c r="K373" i="15"/>
  <c r="F373" i="15"/>
  <c r="F372" i="15"/>
  <c r="L371" i="15"/>
  <c r="F371" i="15"/>
  <c r="F369" i="15"/>
  <c r="L367" i="15"/>
  <c r="L366" i="15"/>
  <c r="K366" i="15"/>
  <c r="F308" i="15"/>
  <c r="F307" i="15"/>
  <c r="F306" i="15"/>
  <c r="F305" i="15"/>
  <c r="F406" i="15"/>
  <c r="K406" i="15"/>
  <c r="F366" i="15" l="1"/>
  <c r="F357" i="15"/>
  <c r="F123" i="15" l="1"/>
  <c r="J123" i="15"/>
  <c r="K315" i="15"/>
  <c r="K340" i="15"/>
  <c r="F192" i="15"/>
  <c r="L192" i="15"/>
  <c r="L360" i="15"/>
  <c r="L359" i="15"/>
  <c r="K397" i="15"/>
  <c r="F247" i="15"/>
  <c r="L246" i="15"/>
  <c r="K246" i="15"/>
  <c r="F246" i="15"/>
  <c r="F244" i="15"/>
  <c r="F243" i="15"/>
  <c r="F242" i="15"/>
  <c r="L241" i="15"/>
  <c r="K241" i="15"/>
  <c r="F241" i="15"/>
  <c r="L240" i="15"/>
  <c r="K240" i="15"/>
  <c r="F240" i="15"/>
  <c r="L239" i="15"/>
  <c r="K239" i="15"/>
  <c r="F239" i="15"/>
  <c r="L238" i="15"/>
  <c r="K238" i="15"/>
  <c r="F238" i="15"/>
  <c r="F237" i="15"/>
  <c r="L236" i="15"/>
  <c r="K236" i="15"/>
  <c r="F236" i="15"/>
  <c r="L235" i="15"/>
  <c r="K235" i="15"/>
  <c r="F235" i="15"/>
  <c r="F234" i="15"/>
  <c r="L220" i="15"/>
  <c r="K220" i="15"/>
  <c r="F220" i="15"/>
  <c r="L219" i="15"/>
  <c r="K219" i="15"/>
  <c r="F219" i="15"/>
  <c r="K169" i="15"/>
  <c r="L162" i="15"/>
  <c r="L281" i="15"/>
  <c r="F281" i="15"/>
  <c r="L285" i="15"/>
  <c r="L209" i="15"/>
  <c r="K209" i="15"/>
  <c r="K197" i="15"/>
  <c r="L113" i="15"/>
  <c r="K162" i="15"/>
  <c r="F206" i="15"/>
  <c r="K195" i="15"/>
  <c r="F338" i="15"/>
  <c r="F312" i="15"/>
  <c r="F147" i="15"/>
  <c r="F146" i="15"/>
  <c r="L147" i="15"/>
  <c r="L146" i="15"/>
  <c r="K128" i="15"/>
  <c r="K127" i="15"/>
  <c r="K150" i="15"/>
  <c r="F150" i="15"/>
  <c r="F169" i="15" l="1"/>
  <c r="F285" i="15"/>
  <c r="F162" i="15"/>
  <c r="J16" i="15"/>
  <c r="J15" i="15"/>
  <c r="J17" i="15"/>
  <c r="J33" i="15"/>
  <c r="K85" i="15"/>
  <c r="K79" i="15"/>
  <c r="J75" i="15"/>
  <c r="J74" i="15"/>
  <c r="J73" i="15"/>
  <c r="J72" i="15"/>
  <c r="J65" i="15"/>
  <c r="J61" i="15"/>
  <c r="J62" i="15"/>
  <c r="J60" i="15"/>
  <c r="J58" i="15"/>
  <c r="J57" i="15"/>
  <c r="J56" i="15"/>
  <c r="J21" i="15"/>
  <c r="J20" i="15"/>
  <c r="J19" i="15"/>
  <c r="J18" i="15"/>
  <c r="J49" i="15"/>
  <c r="J48" i="15"/>
  <c r="J47" i="15"/>
  <c r="J45" i="15"/>
  <c r="L37" i="15"/>
  <c r="L36" i="15"/>
  <c r="J35" i="15"/>
  <c r="F9" i="15"/>
  <c r="F8" i="15" s="1"/>
  <c r="J9" i="15"/>
  <c r="F10" i="15"/>
  <c r="J10" i="15"/>
  <c r="J12" i="15"/>
  <c r="J11" i="15"/>
  <c r="F11" i="15"/>
  <c r="F12" i="15"/>
  <c r="F43" i="15"/>
  <c r="F42" i="15"/>
  <c r="L41" i="15"/>
  <c r="F39" i="15"/>
  <c r="L38" i="15"/>
  <c r="F24" i="15"/>
  <c r="J23" i="15"/>
  <c r="F31" i="15"/>
  <c r="J30" i="15"/>
  <c r="F26" i="15"/>
  <c r="F27" i="15"/>
  <c r="F28" i="15"/>
  <c r="F25" i="15"/>
  <c r="F76" i="15"/>
  <c r="K76" i="15"/>
  <c r="F49" i="15" l="1"/>
  <c r="F75" i="15"/>
  <c r="F30" i="15"/>
  <c r="F18" i="15"/>
  <c r="K78" i="15"/>
  <c r="J64" i="15"/>
  <c r="F37" i="15"/>
  <c r="F21" i="15"/>
  <c r="F85" i="15"/>
  <c r="F38" i="15"/>
  <c r="J44" i="15"/>
  <c r="F56" i="15"/>
  <c r="F72" i="15"/>
  <c r="F62" i="15"/>
  <c r="F19" i="15"/>
  <c r="F23" i="15"/>
  <c r="F20" i="15"/>
  <c r="J32" i="15"/>
  <c r="F47" i="15"/>
  <c r="F57" i="15"/>
  <c r="F73" i="15"/>
  <c r="J8" i="15"/>
  <c r="F60" i="15"/>
  <c r="J34" i="15"/>
  <c r="F61" i="15"/>
  <c r="F36" i="15"/>
  <c r="F41" i="15"/>
  <c r="F48" i="15"/>
  <c r="F58" i="15"/>
  <c r="F74" i="15"/>
  <c r="F79" i="15"/>
  <c r="F33" i="15"/>
  <c r="K84" i="15"/>
  <c r="F65" i="15"/>
  <c r="F45" i="15"/>
  <c r="L34" i="15"/>
  <c r="F35" i="15"/>
  <c r="J59" i="15"/>
  <c r="J55" i="15"/>
  <c r="J46" i="15"/>
  <c r="F34" i="15" l="1"/>
  <c r="F64" i="15"/>
  <c r="F59" i="15"/>
  <c r="F84" i="15"/>
  <c r="F32" i="15"/>
  <c r="F44" i="15"/>
  <c r="F78" i="15"/>
  <c r="F46" i="15"/>
  <c r="F55" i="15"/>
  <c r="K334" i="15"/>
  <c r="F334" i="15"/>
  <c r="K318" i="15"/>
  <c r="K316" i="15"/>
  <c r="K311" i="15"/>
  <c r="F95" i="15"/>
  <c r="F96" i="15"/>
  <c r="F7" i="15"/>
  <c r="J6" i="15"/>
  <c r="F6" i="15" l="1"/>
  <c r="F318" i="15"/>
  <c r="F311" i="15"/>
  <c r="F316" i="15"/>
  <c r="F120" i="15"/>
  <c r="K5" i="15"/>
  <c r="K398" i="15"/>
  <c r="F397" i="15"/>
  <c r="F351" i="15"/>
  <c r="F131" i="15"/>
  <c r="F141" i="15"/>
  <c r="F139" i="15"/>
  <c r="J140" i="15"/>
  <c r="K81" i="15"/>
  <c r="J138" i="15"/>
  <c r="F164" i="15"/>
  <c r="F140" i="15" l="1"/>
  <c r="F138" i="15"/>
  <c r="F398" i="15"/>
  <c r="K335" i="15"/>
  <c r="F335" i="15"/>
  <c r="K405" i="15"/>
  <c r="F356" i="15"/>
  <c r="F355" i="15"/>
  <c r="F361" i="15"/>
  <c r="F360" i="15"/>
  <c r="F359" i="15"/>
  <c r="F354" i="15"/>
  <c r="K360" i="15"/>
  <c r="K359" i="15"/>
  <c r="F350" i="15"/>
  <c r="F349" i="15"/>
  <c r="F348" i="15"/>
  <c r="F347" i="15"/>
  <c r="F346" i="15"/>
  <c r="F344" i="15"/>
  <c r="F343" i="15"/>
  <c r="F342" i="15"/>
  <c r="F341" i="15"/>
  <c r="F337" i="15"/>
  <c r="F336" i="15"/>
  <c r="F333" i="15"/>
  <c r="F332" i="15"/>
  <c r="F331" i="15"/>
  <c r="F330" i="15"/>
  <c r="F329" i="15"/>
  <c r="F339" i="15"/>
  <c r="K350" i="15"/>
  <c r="K349" i="15"/>
  <c r="K348" i="15"/>
  <c r="K347" i="15"/>
  <c r="K346" i="15"/>
  <c r="K344" i="15"/>
  <c r="K343" i="15"/>
  <c r="K342" i="15"/>
  <c r="K341" i="15"/>
  <c r="K338" i="15"/>
  <c r="K337" i="15"/>
  <c r="K336" i="15"/>
  <c r="K333" i="15"/>
  <c r="K332" i="15"/>
  <c r="K331" i="15"/>
  <c r="K330" i="15"/>
  <c r="K329" i="15"/>
  <c r="F328" i="15"/>
  <c r="F327" i="15"/>
  <c r="F326" i="15"/>
  <c r="F325" i="15"/>
  <c r="F324" i="15"/>
  <c r="K328" i="15"/>
  <c r="K327" i="15"/>
  <c r="K326" i="15"/>
  <c r="K325" i="15"/>
  <c r="K324" i="15"/>
  <c r="K321" i="15"/>
  <c r="K320" i="15"/>
  <c r="K319" i="15"/>
  <c r="K312" i="15"/>
  <c r="F405" i="15" l="1"/>
  <c r="F321" i="15"/>
  <c r="F317" i="15"/>
  <c r="F319" i="15"/>
  <c r="F320" i="15"/>
  <c r="L227" i="15"/>
  <c r="L225" i="15"/>
  <c r="L222" i="15"/>
  <c r="K227" i="15"/>
  <c r="K226" i="15"/>
  <c r="K225" i="15"/>
  <c r="K222" i="15"/>
  <c r="L221" i="15"/>
  <c r="K221" i="15"/>
  <c r="K216" i="15"/>
  <c r="K217" i="15"/>
  <c r="K218" i="15"/>
  <c r="K214" i="15"/>
  <c r="K215" i="15"/>
  <c r="F213" i="15"/>
  <c r="K213" i="15"/>
  <c r="F212" i="15"/>
  <c r="K212" i="15"/>
  <c r="K206" i="15"/>
  <c r="K196" i="15"/>
  <c r="L196" i="15"/>
  <c r="F196" i="15"/>
  <c r="F195" i="15"/>
  <c r="F194" i="15"/>
  <c r="K194" i="15"/>
  <c r="K193" i="15"/>
  <c r="K192" i="15"/>
  <c r="F233" i="15"/>
  <c r="K233" i="15"/>
  <c r="K232" i="15"/>
  <c r="K231" i="15"/>
  <c r="F231" i="15"/>
  <c r="L295" i="15"/>
  <c r="L296" i="15"/>
  <c r="L300" i="15"/>
  <c r="L302" i="15"/>
  <c r="K295" i="15"/>
  <c r="K296" i="15"/>
  <c r="K300" i="15"/>
  <c r="K302" i="15"/>
  <c r="F295" i="15"/>
  <c r="F296" i="15"/>
  <c r="F300" i="15"/>
  <c r="F302" i="15"/>
  <c r="J14" i="15" l="1"/>
  <c r="J13" i="15"/>
  <c r="J29" i="15"/>
  <c r="L201" i="15"/>
  <c r="K201" i="15"/>
  <c r="L200" i="15"/>
  <c r="K200" i="15"/>
  <c r="L190" i="15"/>
  <c r="K190" i="15"/>
  <c r="L189" i="15"/>
  <c r="K189" i="15"/>
  <c r="L188" i="15"/>
  <c r="K188" i="15"/>
  <c r="K186" i="15"/>
  <c r="F94" i="15"/>
  <c r="K124" i="15"/>
  <c r="K170" i="15"/>
  <c r="K171" i="15"/>
  <c r="L171" i="15"/>
  <c r="L170" i="15"/>
  <c r="K175" i="15"/>
  <c r="K126" i="15"/>
  <c r="K125" i="15"/>
  <c r="L124" i="15"/>
  <c r="K121" i="15"/>
  <c r="K120" i="15"/>
  <c r="L119" i="15"/>
  <c r="J118" i="15"/>
  <c r="J117" i="15"/>
  <c r="L116" i="15"/>
  <c r="J116" i="15"/>
  <c r="J115" i="15"/>
  <c r="J114" i="15"/>
  <c r="J113" i="15"/>
  <c r="J111" i="15"/>
  <c r="J110" i="15"/>
  <c r="J109" i="15"/>
  <c r="J108" i="15"/>
  <c r="J107" i="15"/>
  <c r="J105" i="15"/>
  <c r="K104" i="15"/>
  <c r="K103" i="15"/>
  <c r="K102" i="15"/>
  <c r="K101" i="15"/>
  <c r="K98" i="15"/>
  <c r="K97" i="15"/>
  <c r="K100" i="15"/>
  <c r="K96" i="15"/>
  <c r="K95" i="15"/>
  <c r="K94" i="15"/>
  <c r="K93" i="15"/>
  <c r="K92" i="15"/>
  <c r="L91" i="15"/>
  <c r="K91" i="15"/>
  <c r="K90" i="15"/>
  <c r="K89" i="15"/>
  <c r="K88" i="15"/>
  <c r="K87" i="15"/>
  <c r="K86" i="15"/>
  <c r="K83" i="15"/>
  <c r="K82" i="15"/>
  <c r="K77" i="15"/>
  <c r="J71" i="15"/>
  <c r="J70" i="15"/>
  <c r="J69" i="15"/>
  <c r="J68" i="15"/>
  <c r="J67" i="15"/>
  <c r="J66" i="15"/>
  <c r="J63" i="15"/>
  <c r="K54" i="15"/>
  <c r="K53" i="15"/>
  <c r="K52" i="15"/>
  <c r="K51" i="15"/>
  <c r="J51" i="15"/>
  <c r="J50" i="15"/>
  <c r="F227" i="15"/>
  <c r="F226" i="15"/>
  <c r="F225" i="15"/>
  <c r="F222" i="15"/>
  <c r="F221" i="15"/>
  <c r="F209" i="15"/>
  <c r="F208" i="15"/>
  <c r="F207" i="15"/>
  <c r="F203" i="15"/>
  <c r="F201" i="15"/>
  <c r="F200" i="15"/>
  <c r="F190" i="15"/>
  <c r="F189" i="15"/>
  <c r="F188" i="15"/>
  <c r="F186" i="15"/>
  <c r="F175" i="15"/>
  <c r="F171" i="15"/>
  <c r="F170" i="15"/>
  <c r="F126" i="15"/>
  <c r="F125" i="15"/>
  <c r="F124" i="15"/>
  <c r="F121" i="15"/>
  <c r="F119" i="15"/>
  <c r="F118" i="15"/>
  <c r="F115" i="15"/>
  <c r="F114" i="15"/>
  <c r="F111" i="15"/>
  <c r="F110" i="15"/>
  <c r="F109" i="15"/>
  <c r="F108" i="15"/>
  <c r="F107" i="15"/>
  <c r="F105" i="15"/>
  <c r="F104" i="15"/>
  <c r="F103" i="15"/>
  <c r="F101" i="15"/>
  <c r="F99" i="15"/>
  <c r="F98" i="15"/>
  <c r="F97" i="15"/>
  <c r="F93" i="15"/>
  <c r="F89" i="15"/>
  <c r="F88" i="15"/>
  <c r="F87" i="15"/>
  <c r="F86" i="15"/>
  <c r="F83" i="15"/>
  <c r="F82" i="15"/>
  <c r="F81" i="15"/>
  <c r="F77" i="15"/>
  <c r="F69" i="15"/>
  <c r="F68" i="15"/>
  <c r="F67" i="15"/>
  <c r="F63" i="15"/>
  <c r="F54" i="15"/>
  <c r="F53" i="15"/>
  <c r="F52" i="15"/>
  <c r="J40" i="15"/>
  <c r="F40" i="15"/>
  <c r="F29" i="15"/>
  <c r="J22" i="15"/>
  <c r="F17" i="15"/>
  <c r="F16" i="15"/>
  <c r="F15" i="15"/>
  <c r="F70" i="15" l="1"/>
  <c r="F71" i="15"/>
  <c r="F13" i="15"/>
  <c r="F14" i="15"/>
  <c r="F50" i="15"/>
  <c r="F66" i="15"/>
  <c r="F116" i="15"/>
  <c r="F117" i="15"/>
  <c r="F113" i="15"/>
  <c r="F51" i="15"/>
</calcChain>
</file>

<file path=xl/sharedStrings.xml><?xml version="1.0" encoding="utf-8"?>
<sst xmlns="http://schemas.openxmlformats.org/spreadsheetml/2006/main" count="3098" uniqueCount="1149">
  <si>
    <t>Sector</t>
  </si>
  <si>
    <t>Sub-sector</t>
  </si>
  <si>
    <t>Nest level 3</t>
  </si>
  <si>
    <t>Nest level 4</t>
  </si>
  <si>
    <t>Nest level 5</t>
  </si>
  <si>
    <t>Brookings Estimate</t>
  </si>
  <si>
    <t>Climate?</t>
  </si>
  <si>
    <t>New Program?</t>
  </si>
  <si>
    <t>Competitive?</t>
  </si>
  <si>
    <t>HTF Contract Authority</t>
  </si>
  <si>
    <t>GF Authorized, Subject to Appropriation</t>
  </si>
  <si>
    <t>GF Appropriations</t>
  </si>
  <si>
    <t>Agency or Department</t>
  </si>
  <si>
    <t>Description</t>
  </si>
  <si>
    <t>Transportation</t>
  </si>
  <si>
    <t>Airports</t>
  </si>
  <si>
    <t>Department of Transportation (Federal Aviation Administration)</t>
  </si>
  <si>
    <t>This investment will replace and upgrade air traffic facilities and equipment, and improve facility safety, security, and environment standards.</t>
  </si>
  <si>
    <t>x</t>
  </si>
  <si>
    <t>This investment will provide competitive grants that target aging airport infrastructure, including replacing aging terminals and airport-owned towers and improving terminal energy efficiency and accessibility.</t>
  </si>
  <si>
    <t>Highways, Roads, and Bridges</t>
  </si>
  <si>
    <t>Environmental Protection Agency</t>
  </si>
  <si>
    <t>Department of Transportation</t>
  </si>
  <si>
    <t>Federal Aid Highway Program</t>
  </si>
  <si>
    <t>National Highway Performance Program</t>
  </si>
  <si>
    <t>Surface Transportation Block Grant Program</t>
  </si>
  <si>
    <t>Highway Safety Improvement Program</t>
  </si>
  <si>
    <t>National Highway Freight Program</t>
  </si>
  <si>
    <t>Carbon Reduction Program</t>
  </si>
  <si>
    <t>Transportation Infrastructure Finance and Innovation Program</t>
  </si>
  <si>
    <t>Federal Lands and Tribal Transportation Programs</t>
  </si>
  <si>
    <t>Tribal Transportation Program</t>
  </si>
  <si>
    <t>Federal Lands Transportation Program</t>
  </si>
  <si>
    <t>National Park Service</t>
  </si>
  <si>
    <t>Department of the Interior (National Park Service)</t>
  </si>
  <si>
    <t>Department of the Interior (U.S. Fish &amp; Wildlife Service)</t>
  </si>
  <si>
    <t>U.S. Forest Service</t>
  </si>
  <si>
    <t>Department of the Interior (U.S. Forest Service)</t>
  </si>
  <si>
    <t>Other</t>
  </si>
  <si>
    <t>Federal Lands Access Program</t>
  </si>
  <si>
    <t>Territorial and Puerto Rico Highway Program</t>
  </si>
  <si>
    <t>Puerto Rico Highway Program</t>
  </si>
  <si>
    <t>Territorial Highway Program</t>
  </si>
  <si>
    <t>Nationally Significant Freight and Highway Projects (INFRA Grants)</t>
  </si>
  <si>
    <t>Bridges</t>
  </si>
  <si>
    <t>Bridge Investment Program</t>
  </si>
  <si>
    <t>Bridge Replacement, Rehabilitation, Preservation, Protection, and Construction Program (Bridge Formula Program)</t>
  </si>
  <si>
    <t>Congestion Relief Program</t>
  </si>
  <si>
    <t>National Electric Vehicle Formula Program</t>
  </si>
  <si>
    <t>Department of Transportation; Department of Energy (Joint office of Energy and Transportation)</t>
  </si>
  <si>
    <t>Joint Office of Energy and Transportation</t>
  </si>
  <si>
    <t>Grants to States or localities that require additional assistance to strategically deploy electric vehicle charging infrastructure (set-aside)</t>
  </si>
  <si>
    <t>Charging and Fueling Infrastructure Grants</t>
  </si>
  <si>
    <t>Community Grants (23 USC 151(f)(8)(A)) (Set-aside)</t>
  </si>
  <si>
    <t>Rural Surface Transportation Grant Program</t>
  </si>
  <si>
    <t>Small Projects (23 USC 173(k)(1)) (Set-aside 10%)</t>
  </si>
  <si>
    <t>Reduction of Truck Emissions at Port Facilities</t>
  </si>
  <si>
    <t>Nationally Significant Federal Lands and Tribal Projects Program</t>
  </si>
  <si>
    <t>Healthy Streets Program</t>
  </si>
  <si>
    <t>Transportation Resilience and Adaptation Centers of Excellence</t>
  </si>
  <si>
    <t>Open Challenge and Research Proposal Pilot Program</t>
  </si>
  <si>
    <t>Research</t>
  </si>
  <si>
    <t>Highway Research and Development Program</t>
  </si>
  <si>
    <t>Technology and Innovation Deployment Program</t>
  </si>
  <si>
    <t>Intelligent Transportation Systems Program</t>
  </si>
  <si>
    <t>University Transportation Centers Program</t>
  </si>
  <si>
    <t>Bureau of Transportation Statistics</t>
  </si>
  <si>
    <t>Department of Transportation (Bureau of Transportation Statistics)</t>
  </si>
  <si>
    <t>Pilot Programs</t>
  </si>
  <si>
    <t>Wildlife Crossings Pilot Program</t>
  </si>
  <si>
    <t>Prioritization Process Pilot Program</t>
  </si>
  <si>
    <t>Reconnecting Communities Pilot Program</t>
  </si>
  <si>
    <t>Reconnecting Communities Planning Grants</t>
  </si>
  <si>
    <t>FHWA Administrative Expenses</t>
  </si>
  <si>
    <t>Department of Transportation; Department of the Interior</t>
  </si>
  <si>
    <t>Appalachian Regional Commission</t>
  </si>
  <si>
    <t>Appalachian Development Highway System</t>
  </si>
  <si>
    <t>Denali Access System Program</t>
  </si>
  <si>
    <t>Denali Commission</t>
  </si>
  <si>
    <t>Invasive Plant Elimination Program</t>
  </si>
  <si>
    <t>Department of the Interior (Bureau of Indian Affairs)</t>
  </si>
  <si>
    <t>Multimodal and freight</t>
  </si>
  <si>
    <t>Department of Transportation; Department of Commerce; Department of Interior (U.S. Fish and Wildlife Service)</t>
  </si>
  <si>
    <t>Rail</t>
  </si>
  <si>
    <t>Grants to Amtrak</t>
  </si>
  <si>
    <t>Federal Railroad Administration</t>
  </si>
  <si>
    <t>Railroad Research and Development</t>
  </si>
  <si>
    <t>Amtrak Office of Inspector General</t>
  </si>
  <si>
    <t>Office of Inspector General of Amtrak</t>
  </si>
  <si>
    <t>Safety</t>
  </si>
  <si>
    <t>Department of Transportation (Federal Motor Carrier Safety Administration)</t>
  </si>
  <si>
    <t>Supplemental Highway Traffic Safety Programs</t>
  </si>
  <si>
    <t>Department of Transportation (National Highway Traffic Safety Administration)</t>
  </si>
  <si>
    <t>Research and innovation</t>
  </si>
  <si>
    <t>Transit</t>
  </si>
  <si>
    <t>Urbanized Area Formula Grants</t>
  </si>
  <si>
    <t>Seniors and Individuals with Disabilities Grants</t>
  </si>
  <si>
    <t>Rural Formula Grants</t>
  </si>
  <si>
    <t>Public Transportation Innovation</t>
  </si>
  <si>
    <t>Technical Assistance and Workforce Development</t>
  </si>
  <si>
    <t>Bus Testing Facility</t>
  </si>
  <si>
    <t>National Transit Database</t>
  </si>
  <si>
    <t>State of Good Repair Grants</t>
  </si>
  <si>
    <t>Buses and Bus Facilities Grants</t>
  </si>
  <si>
    <t>Growing and High Density States</t>
  </si>
  <si>
    <t>Coordinated Access and Mobility Pilot</t>
  </si>
  <si>
    <t>Pilot Program for Transit-Oriented Development Planning</t>
  </si>
  <si>
    <t>New Starts</t>
  </si>
  <si>
    <t>Core Capacity</t>
  </si>
  <si>
    <t>Small Starts</t>
  </si>
  <si>
    <t>Project Delivery Pilot</t>
  </si>
  <si>
    <t>Washington Metropolitan Transit Authority</t>
  </si>
  <si>
    <t>All Stations Accessibility Program</t>
  </si>
  <si>
    <t>Ports and Inland Waterways</t>
  </si>
  <si>
    <t>Department of the Army (Corps of Engineers)</t>
  </si>
  <si>
    <t>Energy</t>
  </si>
  <si>
    <t>Grid infrastructure realiability and resilience</t>
  </si>
  <si>
    <t>Department of Energy</t>
  </si>
  <si>
    <t>Transmission Facilitation Program</t>
  </si>
  <si>
    <t>Department of Energy (Western Area Power Administration)</t>
  </si>
  <si>
    <t>Program Upgrading Our Electric Grid and Ensuring Reliability and Resiliency</t>
  </si>
  <si>
    <t>Department of Energy (Office of Clean Energy Demonstrations)</t>
  </si>
  <si>
    <t>Energy improvement in rural or remote areas</t>
  </si>
  <si>
    <t>State Energy Program</t>
  </si>
  <si>
    <t>Department of Energy (Bonneville Power Administration)</t>
  </si>
  <si>
    <t>Department of Energy;Department of Homeland Security</t>
  </si>
  <si>
    <t>Energy Sector Operational Support for Cyberresilience Program</t>
  </si>
  <si>
    <t>Department of Energy; Department of Homeland Security</t>
  </si>
  <si>
    <t>Supply Chains for Clean Energy</t>
  </si>
  <si>
    <t>Earth Mapping Resources Initiative</t>
  </si>
  <si>
    <t>Department of the Interior (U.S. Geological Survey)</t>
  </si>
  <si>
    <t>National Cooperative Geologic Mapping Program</t>
  </si>
  <si>
    <t>Lithium-Ion Battery Recycling Prize Competition</t>
  </si>
  <si>
    <t>Fuels and technology</t>
  </si>
  <si>
    <t>Department of Transportation (Pipeline and Hazardous Materials Safety Administration)</t>
  </si>
  <si>
    <t>Carbon capture, utilization, storage and industrial emission reduction</t>
  </si>
  <si>
    <t>Energy Storage</t>
  </si>
  <si>
    <t>Energy Storage Demonstration Pilot</t>
  </si>
  <si>
    <t>Secure geologic storage permitting</t>
  </si>
  <si>
    <t>Geologic Sequestration Permitting</t>
  </si>
  <si>
    <t>Renewable/clean energy</t>
  </si>
  <si>
    <t>Hydrogen</t>
  </si>
  <si>
    <t>Clean Hydrogen Manufacturing Recycling Research, Development, and Demonstration Program</t>
  </si>
  <si>
    <t>Nuclear</t>
  </si>
  <si>
    <t>Hydropower</t>
  </si>
  <si>
    <t>National Marine Energy Centers</t>
  </si>
  <si>
    <t>Geothermal</t>
  </si>
  <si>
    <t>Wind</t>
  </si>
  <si>
    <t>Solar</t>
  </si>
  <si>
    <t>Methane Reduction Infrastructure</t>
  </si>
  <si>
    <t>Tribal Orphaned Well Site Plugging, Remediation, and Restoration</t>
  </si>
  <si>
    <t>Interstate Oil and Gas Compact Comission</t>
  </si>
  <si>
    <t>Abandoned Mine Reclamation</t>
  </si>
  <si>
    <t>Department of the Interior</t>
  </si>
  <si>
    <t>Mineral Security</t>
  </si>
  <si>
    <t>Energy Efficiency and Building Infrastructure</t>
  </si>
  <si>
    <t>Grants for energy efficiency improvements and renewable energy improvements at public school facilities</t>
  </si>
  <si>
    <t>Department of Health and Human Services</t>
  </si>
  <si>
    <t>Energy Efficiency and Conservation Block Grant Program</t>
  </si>
  <si>
    <t>Department of Energy (Office of Energy Efficiency and Renewable Energy)</t>
  </si>
  <si>
    <t>Extended Product System Rebate Program</t>
  </si>
  <si>
    <t>Energy Efficient Transformer Rebate Program</t>
  </si>
  <si>
    <t>Watersheds and coastlines</t>
  </si>
  <si>
    <t>Watershed health, maintenance, and restoration</t>
  </si>
  <si>
    <t>Department of Agriculture</t>
  </si>
  <si>
    <t>Department of Commerce (National Oceanic and Atmospheric Administration)</t>
  </si>
  <si>
    <t>Department of the Interior (U.S. Fish and Wildlife Service)</t>
  </si>
  <si>
    <t>EPA Geographic Programs</t>
  </si>
  <si>
    <t>Great Lakes Restoration Initiative</t>
  </si>
  <si>
    <t>National Estuary Program</t>
  </si>
  <si>
    <t>Gulf Hypoxia Action Plan</t>
  </si>
  <si>
    <t>Aquatic ecosystem restoration projects</t>
  </si>
  <si>
    <t>Flood mitigation and management</t>
  </si>
  <si>
    <t>Coastal and inland flood and inundation mapping and forecasting</t>
  </si>
  <si>
    <t>Department of Homeland Security (Federal Emergency Management Agency)</t>
  </si>
  <si>
    <t>Compile and disseminate information on floods and flood damages</t>
  </si>
  <si>
    <t>Protection of highways, bridge approaches, public works, and nonprofit public services from flooding</t>
  </si>
  <si>
    <t>Inland flood risk management projects</t>
  </si>
  <si>
    <t>Flood control and coastal emergencies</t>
  </si>
  <si>
    <t>Oceans and coastal resources</t>
  </si>
  <si>
    <t>Marine debris assessment, prevention, mitigation, and removal</t>
  </si>
  <si>
    <t>Marine debris prevention and removal through the National Sea Grant College Program</t>
  </si>
  <si>
    <t>Coastal, ocean, and Great Lakes observing systems</t>
  </si>
  <si>
    <t>Regional Ocean Partnerships</t>
  </si>
  <si>
    <t>Weather and climate supercomputing</t>
  </si>
  <si>
    <t>National Estuarine Research Reserve System</t>
  </si>
  <si>
    <t>Coastal storm risk management, hurricane and storm damage reduction projects, and related activities</t>
  </si>
  <si>
    <t>Western Water Infrastructure</t>
  </si>
  <si>
    <t>Water storage, groundwater storage, and conveyance projects</t>
  </si>
  <si>
    <t>Department of the Interior (Bureau of Reclamation)</t>
  </si>
  <si>
    <t>Aging Infrastructure Account</t>
  </si>
  <si>
    <t>Rural water projects</t>
  </si>
  <si>
    <t>WaterSMART Grants</t>
  </si>
  <si>
    <t>Financial assistance for watershed management projects</t>
  </si>
  <si>
    <t>Design, study and construction of aquatic ecosystem restoration and protection projects</t>
  </si>
  <si>
    <t>Endangered species recovery and conservation programs in the Colorado River Basin</t>
  </si>
  <si>
    <t>Central Utah Project</t>
  </si>
  <si>
    <t>Coast Guard</t>
  </si>
  <si>
    <t>Department of Homeland Security (Coast Guard)</t>
  </si>
  <si>
    <t>Federal Emergency Management Agency</t>
  </si>
  <si>
    <t>Dam safety grants to states</t>
  </si>
  <si>
    <t>Federal agency dam safety activities and assistance to states</t>
  </si>
  <si>
    <t>Water</t>
  </si>
  <si>
    <t>Drinking Water</t>
  </si>
  <si>
    <t>Assistance for small and disadvantaged communities</t>
  </si>
  <si>
    <t>Emerging contaminants</t>
  </si>
  <si>
    <t>Imminent and substantial contamination grants to states</t>
  </si>
  <si>
    <t>Drinking Water System Infrastructure Resilience and Sustainability Program</t>
  </si>
  <si>
    <t>State competitive grants for under-served communities</t>
  </si>
  <si>
    <t>Grant program to provide assistance to eligible entities for lead reduction projects</t>
  </si>
  <si>
    <t>Clean Water</t>
  </si>
  <si>
    <t>Grants for construction and refurbishing of individual household decentralized wastewater systems for individuals with low or moderate income</t>
  </si>
  <si>
    <t>Grants to Alaska to improve sanitation in rural and Native villages</t>
  </si>
  <si>
    <t>Stormwater infrastructure technology</t>
  </si>
  <si>
    <t>Water Resources Research Act amendments</t>
  </si>
  <si>
    <t>Other water</t>
  </si>
  <si>
    <t>Indian Water Rights Settlement Completion Fund</t>
  </si>
  <si>
    <t>Comprehensive plans for development, utilization, and conservation of water and related resources</t>
  </si>
  <si>
    <t>Water-related environmental infrastructure assistance</t>
  </si>
  <si>
    <t>Broadband</t>
  </si>
  <si>
    <t>Deployment</t>
  </si>
  <si>
    <t>Broadband equity, access, and deployment program</t>
  </si>
  <si>
    <t>Department of Commerce (National Telecommunications and Information Administration)</t>
  </si>
  <si>
    <t>Federal Communications Commission</t>
  </si>
  <si>
    <t>Grants for the Tribal Broadband Connectivity Program</t>
  </si>
  <si>
    <t>Department of Commerce</t>
  </si>
  <si>
    <t>Adoption</t>
  </si>
  <si>
    <t>State Digital Equity Capacity Grant Program</t>
  </si>
  <si>
    <t>Digital Equity Competitive Grant Program</t>
  </si>
  <si>
    <t>Department of Commerce (Office of Inspector General)</t>
  </si>
  <si>
    <t xml:space="preserve"> </t>
  </si>
  <si>
    <t>Affordability</t>
  </si>
  <si>
    <t>Rural utilities service</t>
  </si>
  <si>
    <t>Other environmental programs</t>
  </si>
  <si>
    <t>Federal Permitting Improvement Steering Council</t>
  </si>
  <si>
    <t xml:space="preserve">Forestry </t>
  </si>
  <si>
    <t>Wildfire management</t>
  </si>
  <si>
    <t>Department of the Interior; Department of Agriculture</t>
  </si>
  <si>
    <t>Road construction and maintenance to facilitate wildfire risk reduction</t>
  </si>
  <si>
    <t>Volunteer Fire Assistance</t>
  </si>
  <si>
    <t>State Fire Assistance</t>
  </si>
  <si>
    <t>Forest Service Legacy Road and Trail Remediation Program</t>
  </si>
  <si>
    <t>U.S. General Accounting Office</t>
  </si>
  <si>
    <t>Joint Chiefs Landscape Restoration Partnership program</t>
  </si>
  <si>
    <t>Miscellaneous state and private forestry</t>
  </si>
  <si>
    <t>Waste</t>
  </si>
  <si>
    <t>Brownfields activities</t>
  </si>
  <si>
    <t>Best practices for battery recycling and labeling guidelines</t>
  </si>
  <si>
    <t>RECYCLE Act</t>
  </si>
  <si>
    <t>Pilot program on use of agricultural commodities in construction and consumer products</t>
  </si>
  <si>
    <t>State revolving loan funds for hazard mitigation</t>
  </si>
  <si>
    <t>Tribal Climate Resilience and Infrastructure</t>
  </si>
  <si>
    <t>Community Relocation</t>
  </si>
  <si>
    <t>Climate resilience and adaptation projects</t>
  </si>
  <si>
    <t>Construction</t>
  </si>
  <si>
    <t>All other</t>
  </si>
  <si>
    <t>Indian Health Facilities</t>
  </si>
  <si>
    <t>Science and Technology Directorate</t>
  </si>
  <si>
    <t>Department of Homeland Security (Science and Technology Directorate)</t>
  </si>
  <si>
    <t>Independent Agencies</t>
  </si>
  <si>
    <t>Delta Regional Authority</t>
  </si>
  <si>
    <t>Northern Border Regional Commission</t>
  </si>
  <si>
    <t>Southeast Crescent Regional Commission</t>
  </si>
  <si>
    <t>Southwest Border Regional Commission</t>
  </si>
  <si>
    <t>Cybersecurity</t>
  </si>
  <si>
    <t>Office of the National Cyber Director</t>
  </si>
  <si>
    <t>Cybersecurity response and recovery fund</t>
  </si>
  <si>
    <t>Cybersecurity and Infrastructure Security Agency</t>
  </si>
  <si>
    <t>State and Local Cybersecurity Grant Program</t>
  </si>
  <si>
    <t>U.S. Customs and Border Protection</t>
  </si>
  <si>
    <t>Department of Homeland Security (U.S. Customs and Border Protection)</t>
  </si>
  <si>
    <t>Federal buildings fund</t>
  </si>
  <si>
    <t>General Services Administration; Department of Homeland Security (U.S. Customs and Border Protection)</t>
  </si>
  <si>
    <t>Projects on the U.S. Customs and Border Protection five-year plan</t>
  </si>
  <si>
    <t>Projects with completed feasibility studies from AJP project list</t>
  </si>
  <si>
    <t>Department of Commerce (Minority Business Development Agency)</t>
  </si>
  <si>
    <t>Facilities and Equipment</t>
  </si>
  <si>
    <t>Link</t>
  </si>
  <si>
    <t>https://www.faa.gov/bil/air-traffic-facilities</t>
  </si>
  <si>
    <t>Airport Infrastructure Grants (including transfers of funds)</t>
  </si>
  <si>
    <t>Airport Terminal Program (including transfers of funds)</t>
  </si>
  <si>
    <t>This investment is used for designated airport projects that increase the safety, capacity, and sustainability of U.S. airports.</t>
  </si>
  <si>
    <t>https://www.faa.gov/bil/airport-infrastructure</t>
  </si>
  <si>
    <t>https://www.faa.gov/bil/airport-terminals</t>
  </si>
  <si>
    <t>Clean School Bus Program</t>
  </si>
  <si>
    <t>This new IIJA program will replace existing school buses with low- or zero-emission ones, prioritizing high-need, low-income, rural, and tribal schools</t>
  </si>
  <si>
    <t>https://www.epa.gov/system/files/documents/2021-12/420f21075.pdf</t>
  </si>
  <si>
    <t>Construction of Ferry Boats and Ferry Terminal Facilities</t>
  </si>
  <si>
    <t>This program funds the construction of ferry boats and terminal facilities</t>
  </si>
  <si>
    <t>https://www.fhwa.dot.gov/fastact/factsheets/ferryboatfs.cfm</t>
  </si>
  <si>
    <t xml:space="preserve">This program supports the condition and performance of the National Highway System and construction of its new facilities. Under IIJA, this program additionally supports activities that increase NHS resiliency to mitigate the cost of damages from extreme weather, wildfires, flooding, and other national disasters. </t>
  </si>
  <si>
    <t>https://www.fhwa.dot.gov/specialfunding/nhpp/160309.cfm#ProgramPurpose</t>
  </si>
  <si>
    <t>https://www.fhwa.dot.gov/bipartisan-infrastructure-law/docs/bil_overview_20211122.pdf</t>
  </si>
  <si>
    <t>This program gives states and localities flexible funding to preserve and improve the conditions and performance of projects including Federal-aid highways and bridges and tunnels on public roads. IIJA adds new types of eligible projects including EV charging infrastructure and resilience-enhancing protective features, and permits states to use a portion of funds for certain rural infrastructure projects, among other changes.</t>
  </si>
  <si>
    <t>https://www.fhwa.dot.gov/specialfunding/stp/</t>
  </si>
  <si>
    <t>Transportation Alternatives (set-aside) (non-add)</t>
  </si>
  <si>
    <t>This program, part of the STBG program, has set-aside funds for smaller-scale transportation alternatives including pedestrian and bicycle facilities, recreational trails, and safe routes to school projects. IIJA adds activities relating to vulnerable road user safety assessments as an eligible project, and increases funding apportionment of TA Set-Aside program to 10% of total STBG funds, among other changes.</t>
  </si>
  <si>
    <t>https://www.fhwa.dot.gov/fastact/factsheets/transportationalternativesfs.cfm</t>
  </si>
  <si>
    <t>This program provides funds for plans and projects to reduce traffic fatalities and injuries on all public roads. IIJA expands eligible projects to include new "specified safety projects" (e.g. safe routes to school), and requires states with vulnerable road user fatalities comprising 15% or more of annual crash fatalities to allocate at least 15% on pedestrian/bike safety projects, among other changes.</t>
  </si>
  <si>
    <t>https://safety.fhwa.dot.gov/hsip/</t>
  </si>
  <si>
    <t>Safety-related Activities (MAP-21 Section 1519) (Set-Aside)</t>
  </si>
  <si>
    <t>This program, part of the HSIP, annually sets aside $3 million of HSIP funds prior to apportionment for Work Zone Safety Grants, safety clearinghouses, and Operation Lifesaver.</t>
  </si>
  <si>
    <t>https://www.fhwa.dot.gov/map21/summaryinfo.cfm</t>
  </si>
  <si>
    <t>Railway-highway Grade Crossings (Set-Aside NLT) (23 USC 130)</t>
  </si>
  <si>
    <t xml:space="preserve">This program annually sets aside funds for eliminating hazards at railway-highway crossings. IIJA states 50% of funds no longer need to be set-aside for "protective devices," and increases the maximum incentive payment states may pay local governments for closing public at-grade railway-highway crossing, among other changes. </t>
  </si>
  <si>
    <t>https://safety.fhwa.dot.gov/hsip/xings/</t>
  </si>
  <si>
    <t>Congestion Mitigation and Air Quality Improvement Program</t>
  </si>
  <si>
    <t>This program aims to reduce transportation-related emissions by funding projects in air quality nonattainment and maintenance areas for ozone, carbon monoxide, and particulate matter. IIJA adds eligibility for shared micromobility, purchases for diesel replacement and medium/heavy-duty zero emission vehicles/charging, modernizing/rehabilitating certain structures, and mandates prioritizing disadvantaged or low-income communities.</t>
  </si>
  <si>
    <t>https://safety.fhwa.dot.gov/hsip/resources/fhwasa09029/sec5.cfm</t>
  </si>
  <si>
    <t xml:space="preserve">This program improves efficient freight movement on the National Highway Freight Network by increasing the safety, efficiency, and resiliency of freight transportation and the NHFN, and reducing environmental impacts of freight movement. IIJA expands eligibility for modernizing/rehabilitating certain lock, dam, or marine corridors, connectors, or crossings, and allows more miles to be designated as critical urban or rural freight corridors, among other changes. </t>
  </si>
  <si>
    <t>https://www.fhwa.dot.gov/fastact/factsheets/nhfpfs.cfm</t>
  </si>
  <si>
    <t>Metropolitan Planning Program</t>
  </si>
  <si>
    <t>This program broadly supports transportation investment decision-making in metropolitan areas. IIJA additionally requires MPO to consider equitable and proportional representation of the metropolitan planning area population when designating officials or representatives, encourages public participation and feedback, and requires each MPO to use 2.5% of more of funds on activities increasing safe, accessible travel options, among other changes.</t>
  </si>
  <si>
    <t>https://www.fhwa.dot.gov/fastact/factsheets/metropolitanplanningfs.cfm</t>
  </si>
  <si>
    <t>This new IIJA program funds projects that reduce transportation emissions or the development of carbon reduction strategies by requiring states to develop a carbon reduction strategy in consultation with MPOs and update it every 4 years.</t>
  </si>
  <si>
    <t>PROTECT Formula Program</t>
  </si>
  <si>
    <t xml:space="preserve">This new IIJA program, "Promoting Resilient Operations for Transformative, Efficient, and Cost-Saving Transportation," provides $7.3 in formula grants and $1.4 billion in competitive set-aside grants for planning, resilience improvements, community resilience and evacuation routes, and at-risk coastal infrastructure in areas recovering from and/or preparing for natural disasters. </t>
  </si>
  <si>
    <t>Link 2</t>
  </si>
  <si>
    <t>PROTECT Grants</t>
  </si>
  <si>
    <t>PROTECT Planning Grants (Set-aside)</t>
  </si>
  <si>
    <t>This is one of four discretionary PROTECT grants provided to states for resilience improvement planning, including scenario development, vulnerability assessments, and evacuation preparation.</t>
  </si>
  <si>
    <t>Resilience Improvement Grants (Set-aside)</t>
  </si>
  <si>
    <t>This is one of four discretionary PROTECT grants provided to states to increase resiliency of existing transformation infrastructure against weather or natural disaster events.</t>
  </si>
  <si>
    <t>Community Resilience and Evacuation Route Grants (Set-aside)</t>
  </si>
  <si>
    <t>This is one of four discretionary PROTECT grants provided to states for projects that improve evacuation routes, with priority given to cost-effectiveness.</t>
  </si>
  <si>
    <t>At-risk Coastal Infrastructure Grants (Set-aside)</t>
  </si>
  <si>
    <t>This is one of four discretionary PROTECT grants provided to coastal states for projects that enhance the resilience of highway and non-rail infrastructure.</t>
  </si>
  <si>
    <t>This program provides credit assistance for eligible transportation projects of regional and national significance, including large-scale surface transportation projects, to fill market gaps and leverage private co-investment.</t>
  </si>
  <si>
    <t>https://www.transportation.gov/buildamerica/financing/tifia</t>
  </si>
  <si>
    <t>This program funds the safe and adequate provision of transportation and public road access to and within Indian reservations, lands, and Alaska Native Village communities to promote economic development, self-determination, and employment. IIJA eliminates the program's current set-aside for the TTP Bridge Program, funding tribal bridges with set-asides from other sources instead, sets aside funding for the Tribal High Priority Projects Program, and increases set-aside amount for TTP Safety Fund, among other changes.</t>
  </si>
  <si>
    <t>https://highways.dot.gov/federal-lands/programs-tribal</t>
  </si>
  <si>
    <t>Tribal High Priority Projects Program (Set-aside)</t>
  </si>
  <si>
    <t>IIJA reinstates this program, which funds Indian Tribes or governmental subdivisions that received insufficient annual funding under TTP to complete the Tribe's highest priority transportation project or had an emergency or disaster occur on a tribal transportation facility that has made it unusable.</t>
  </si>
  <si>
    <t>https://www.fhwa.dot.gov/map21/factsheets/thpp.cfm</t>
  </si>
  <si>
    <t>The National Park Service is a Federal Lands Management Agency which, under the Federal Lands Transportation Program (FLTP), may receive funding to improve its transportation infrastructure. IIJA increases FLTP funds used to improve public safety and reduce vehicle-caused wildlife mortality while maintaining habitat connectivity, and requires FLTP projects to consider using native plants and designs that minimize runoff and heat generation, among other changes.</t>
  </si>
  <si>
    <t>https://highways.dot.gov/federal-lands/programs/transportation</t>
  </si>
  <si>
    <t>U.S. Fish and Wildlife Service</t>
  </si>
  <si>
    <t xml:space="preserve">The U.S. Fish and Wildlife Service is a Federal Lands Management Agency which, under the Federal Lands Transportation Program (FLTP), may receive funding to improve its transportation infrastructure. IIJA increases FLTP funds used to improve public safety and reduce vehicle-caused wildlife mortality while maintaining habitat connectivity, and requires FLTP projects to consider using native plants and designs that minimize runoff and heat generation, among other changes. </t>
  </si>
  <si>
    <t xml:space="preserve">The U.S. Forest Service is a Federal Lands Management Agency which, under the Federal Lands Transportation Program (FLTP), may receive funding to improve its transportation infrastructure. IIJA increases FLTP funds used to improve public safety and reduce vehicle-caused wildlife mortality while maintaining habitat connectivity, and requires FLTP projects to consider using native plants and designs that minimize runoff and heat generation, among other changes. </t>
  </si>
  <si>
    <t>Other (Federal Lands Transportation Program)</t>
  </si>
  <si>
    <t xml:space="preserve">This includes other Federal Lands Management Agencies which, under the Federal Lands Transportation Program (FLTP), may receive funding to improve its transportation infrastructure. IIJA increases FLTP funds used to improve public safety and reduce vehicle-caused wildlife mortality while maintaining habitat connectivity, and requires FLTP projects to consider using native plants and designs that minimize runoff and heat generation, among other changes. </t>
  </si>
  <si>
    <t>This program supplements State and local resources to improve transportation facilities providing access to, adjacent to, or located within federal lands, with a priority for high-use recreation sites and economic generators. IIJA adds new eligible activities under FLAP to include context-sensitive solutions, wayfinding markers, landscaping, and cooperative mitigation of visual blight; increases set-aside funds for transportation planning; and makes projects eligible for 100% federal share, among other changes.</t>
  </si>
  <si>
    <t>https://highways.dot.gov/federal-lands/programs-access</t>
  </si>
  <si>
    <t>This program allocates funds for a highway program in the Commonwealth of Puerto Rico. IIJA increases funding for this program and adds eligibility for preventative maintenance.</t>
  </si>
  <si>
    <t>https://www.fhwa.dot.gov/specialfunding/prhp/</t>
  </si>
  <si>
    <t xml:space="preserve">This program provides funding to assist the governments of U.S. territories including American Samoa, the Commonwealth of the Northern Mariana Islands, Guam, and the U.S. Virgin Islands, to construct and improve their arterial and collector highway system and inter-island connectors. IIJA increases program funding. </t>
  </si>
  <si>
    <t>https://www.fhwa.dot.gov/specialfunding/thp/</t>
  </si>
  <si>
    <t>This program provides grant or credit assistance to nationally and regionally significant multimodal freight and highway projects that align with program goals. IIJA adds entity eligibility for multistate corridor organizations and project eligibility for wildlife crossings, surface transportation projects connected to international border crossings, and marine highway projects functionally connected to the National Highway Freight Network; and allows up to 30% of INFRA funds to be used for non-highway freight projects.</t>
  </si>
  <si>
    <t>https://www.transportation.gov/sites/dot.gov/files/docs/NSFHP Fact Sheets with Letterhead_v2.pdf</t>
  </si>
  <si>
    <t>State Incentive Pilot Program (Set-aside)</t>
  </si>
  <si>
    <t>Under IIJA, the Nationally Significant Freight and Highway Projects Program (INFRA) additionally sets aside funds for the State Incentive Pilot Program, which prioritizes applications that offer the greatest non-Federal share of project costs.</t>
  </si>
  <si>
    <t xml:space="preserve">This new competitive grant program under IIJA provides funds to state, local, federal, and tribal entities to improve bridge and culvert conditions, safety, efficiency, and reliability of people and freight movement. At least 50% of funds are reserved for large projects, which can be funded with multi-year funding agreements. </t>
  </si>
  <si>
    <t>https://narc.org/wp-content/uploads/2021/09/Bipartisan-IIJA-Analysis.pdf</t>
  </si>
  <si>
    <t>This program, part of the Bridge Investment Program, sets aside annual funds for tribal transportation bridges.</t>
  </si>
  <si>
    <t>Tribal Transportation Facility Bridge (set-aside) (23 USC 124q)</t>
  </si>
  <si>
    <t>Tribal Transportation Facility Bridge (set-aside) (23 USC 202d GF)</t>
  </si>
  <si>
    <t xml:space="preserve">The Bridge Investment Program additionally sets aside grants for eligible projects that may be used for development phase activities including planning, feasibility analysis, and revenue forecasting. </t>
  </si>
  <si>
    <t>This new IIJA program provides appropriations from the General Fund to replace, rehabilitate, preserve, protect, and construct bridges on public roads. 75% is distributed based on relative costs of replacing the state's poor condition bridges, and 25% is based on relative costs of rehabilitating fair condition bridges.</t>
  </si>
  <si>
    <t>This program sets aside 3% of funds appropriated for the Bridge Formula program for tribal transportation facility bridges, which will be administered as if under the Tribal Transportation Program.</t>
  </si>
  <si>
    <t xml:space="preserve">This new IIJA program provides competitive grants that promote innovative, integrated, multimodal solutions to reduce congestion and its related economic and environment costs in the most congested metropolitan areas of the U.S. Eligible projects include the deployment and operation of integrated congestion management systems, systems implementing or enforcing high occupancy vehicle toll lanes or pricing strategies, mobility services, and incentive programs encouraging carpooling or different travel modes during peak and nonpeak periods. </t>
  </si>
  <si>
    <t>This new IIJA program provides formula and discretionary funding to states to strategically deploy electric vehicle charge infrastructure and create a network facilitating data collection, access, and reliability.</t>
  </si>
  <si>
    <t xml:space="preserve">This office shared between USDOT and USDOE aims to accelerate the deployment of a reliable, affordable, equitable national network of EV charging stations and provide technical assistance to states building EV charging plans. </t>
  </si>
  <si>
    <t>These discretionary grants are part of the National Electric Vehicle Formula Program, and set aside 10% of program funding to State and local governments that require additional assistance to strategically deploy EV charging infrastructure.</t>
  </si>
  <si>
    <t>This new IIJA program provides competitive discretionary grants to states, MPOs, local governments, Indian Tribes, and other public entities to strategically deploy publicly accessible EV charging and hydrogen/propane/natural gas fueling infrastructure and other alternative fuel corridors.</t>
  </si>
  <si>
    <t xml:space="preserve">These competitive grants set aside 50% of Charging and Fueling Infrastructure Grant program funds to install EV charging and alternative fueling infrastructure on designated public roads, schools, parks, and publicly accessible parking facilities. The grants prioritize rural areas, low- and moderate-income neighborhoods, and communities with low ratios of private parking or high ratios of multi-unit dwellings. </t>
  </si>
  <si>
    <t>This new IIJA program provides competitive grants to eligible entities to improve and expand surface transportation infrastructure in rural areas to increase connectivity and the safety and reliability of people and freight, and promote regional economic growth.</t>
  </si>
  <si>
    <t>This is a provision in the Rural Surface Transportation Grant which requires at least 25% of funds to be for designated routes of the Appalachian Development Highway System.</t>
  </si>
  <si>
    <t xml:space="preserve">This is a provision within the Rural Surface Transportation Grant which requires 15% of funds to be for projects in states with a higher than national average rate of rural roadway lane departure fatalities. </t>
  </si>
  <si>
    <t>This new IIJA program studies and provides competitive grants to reduce truck idling and port-related emissions through port electrification projects.</t>
  </si>
  <si>
    <t>This discretionary program funds the construction, reconstruction, and rehabilitation of nationally-significantly projects within, adjacent to, or accessing federal and tribal lands. IIJA allows smaller projects to qualify for funding and establishes 100% federal share for tribal projects.</t>
  </si>
  <si>
    <t>This new IIJA discretionary grant program provides funds to counties to install cool and/or porous pavements or to expand tree cover to reduce urban heat centers and improve air quality. The grants prioritize low-income or disadvantaged communities, those entering into community benefits agreement with community representatives, and those partnering with qualified youth or conservation corps.</t>
  </si>
  <si>
    <t>Under IIJA, the Secretary designates 10 regional Centers of Excellence for Resilience and Adaptation and 1 national Center of Excellence for Resilience and Adaptation that coordinates all regional centers. These centers receive grants to promote research and development improving the resilience of regions vulnerable to natural disasters and effects of climate change on surface transportation infrastructure.</t>
  </si>
  <si>
    <t xml:space="preserve">This new IIJA program provides grants for proposals researching the needs or challenges that the Secretary of Transportation deems important. </t>
  </si>
  <si>
    <t>This program funds strategic investment in research activities addressing current and emerging needs in highway transportation.</t>
  </si>
  <si>
    <t>Of the funds allocated for the Highway Research and Development program, IIJA sets aside funding for this program, which requires USDOT—through state, local, and regional pilot projects—to test the feasibility of a road usage fee and other user-based alternative revenue mechanisms to maintain the Highway Trust Fund's long-term solvency. Under IIJA, this program's objectives focus on data privacy, administrative costs, implementation, and equity.</t>
  </si>
  <si>
    <t>This pilot program, using set-aside funds from the Highway Research and Development program, is established by the Secretary under IIJA to demonstrate a national motor vehicle per-mile user fee, through soliciting a nationally-representative sample of volunteer participants.</t>
  </si>
  <si>
    <t>Formerly the Advanced Transportation and Congestion Management Technologies Deployment program, IIJA modifies and expands the program beyond congestion to include intermodal connectivity and a rural set-aside of at least 20% and to allow for retrofitting of DSRC technology under certain conditions. This program uses funds set aside from the Highway Research and Development Program, Technology and Innovation Deployment Program, and Intelligent Transportation Systems Program.</t>
  </si>
  <si>
    <t xml:space="preserve">This program funds efforts to accelerate the implementation and delivery of new innovations and technologies from highway research and development. IIJA expands this program by adding focus on accelerated market readiness efforts and increases program funding. </t>
  </si>
  <si>
    <t>This program uses set-aside funds authorized for the Technology and Innovation Deployment Program to document, demonstrate, and deploy innovative pavement technologies. IIJA extends the program's authorization and adds reporting for pavement-related considerations to enhance the environment and promote sustainability.</t>
  </si>
  <si>
    <t xml:space="preserve">This program uses set-aside funds from the Technology and Innovation Deployment Program to deploy advanced digital construction management systems that enable digital technology usage on construction sites and reduce the environmental footprint of construction projects. </t>
  </si>
  <si>
    <t xml:space="preserve">IIJA directs a portion of annual funding towards major highway-related training and education programs. </t>
  </si>
  <si>
    <t>This program funds the research, development, and operational testing of Intelligent Transportation Systems that seek to solve congestion and safety problems, improve operating efficiency in transit and commercial vehicles, and reduce environmental impacts of increasing travel demand. IIJA additionally expands the membership of the program's advisory committee to include more areas of expertise and experience, sets three-year terms, and allows virtual meetings.</t>
  </si>
  <si>
    <t>This program awards and administers grants to consortia national colleges and universities that come together to form a center of transportation excellence that promotes cutting-edge transportation research, advance transportation technology, and develop young transportation professionals. IIJA additionally makes technical revisions to UTCs and requires the Secretary to publish a description of the process of selecting UTCs.</t>
  </si>
  <si>
    <t xml:space="preserve">The Bureau of Transportation is part of the DOT, and compiles, analyzes, and disseminates statistics on transportation, including commercial aviation, multimodal freight activity, and transportation economics. </t>
  </si>
  <si>
    <t>This new IIJA program provides grants for projects that seek to reduce wildlife-vehicle collisions and improve habitat connectivity. It requires at least 60% of grant funds to be set aside for rural area projects, and requires an update and expansion of studies, workforce development and technical training courses, data collection methodology, and guidance.</t>
  </si>
  <si>
    <t>This new IIJA pilot program supports data-driven approaches to transportation planning that can be for public benefit, by awarding grants to states and MPOs to develop and implement publicly accessible, transparent prioritization processes for selecting projects to include in state or metropolitan transportation plans.</t>
  </si>
  <si>
    <t>This is one component of the new IIJA Reconnecting Communities Pilot Program, which awards planning grants to eligible entities to study the feasibility and impacts of removing, retrofitting, or mitigating transportation facilities that create barriers to community connectivity, including mobility, access, or economic development.</t>
  </si>
  <si>
    <t xml:space="preserve">This is one component of the new IIJA Reconnecting Communities Pilot Program, which awards capital construction grants to owners of eligible facilities to execute projects that remove, retrofit, or mitigate an eligible facility and replace it with a new one, if appropriate. </t>
  </si>
  <si>
    <t>This category comprises separate funds allocated for general FHWA operating administrative expenses under the FAST Act.</t>
  </si>
  <si>
    <t>Of the funds allocated for FHWA administrative expenses under the FAST Act, a proportion is designated for this program, which provides training and development for surface transportation-related workforces.</t>
  </si>
  <si>
    <t xml:space="preserve">Of the funds allocated for FHWA administrative expenses under the FAST Act, a proportion is designated for this program, which seeks to remedy ongoing discrimination and effects of past discrimination by ensuring that small businesses owned by socially and economically disadvantaged individuals have fair opportunities to compete for federally-funded highway, transit, airport, and highway safety financial assistance programs. </t>
  </si>
  <si>
    <t>Of the funds allocated for FHWA administrative expenses under the FAST Act, a proportion is designated for this program, which allows the Secretary to fund the Internal Revenue Service, states, and other federal agencies to execute intergovernmental enforcement, training, and research efforts to reduce evasion of highway use taxes.</t>
  </si>
  <si>
    <t xml:space="preserve">This new IIJA grant program funds state DOTs and local governments for bollard installation projects aimed to prevent pedestrian injuries and acts of terrorism in areas used by large numbers of pedestrians. </t>
  </si>
  <si>
    <t>The Commission is an economic development partnership agency of the federal government and 13 state governments that innovates, partners, and invests in the Appalachian Region to build its community capacity and strengthen economic growth through grants, research, and learning. IIJA provides additional funding to ARC's regular appropriation, reauthorizes ARC for five years, and creates several other changes to statutory authorities.</t>
  </si>
  <si>
    <t>IIJA sets aside funds designated for ARC to create a new regional energy hub initiative providing research and grants to determine the economic impact of an ethane storage facility supporting more effective energy market performance.</t>
  </si>
  <si>
    <t>This program funds the construction of the Appalachian Development Highway System, a 3,090-mile network of highways linking the Appalachian region to national interstates, to generate economic development and improve access. Congress stopped providing dedicated ADHS funds to state DOTs in 2012, but IIJA will provide dedicated funding over five years for this program at the Federal Highway Administration.</t>
  </si>
  <si>
    <t>This program, which ran from 2005-2009, funds the planning, design, engineering, and construction of road and other surface transportation infrastructure projects for the Denali access system. IIJA extends the program's funding authorization for five years and allows the Denali Commission to consider funding from other federal agencies which are no longer subject to previous requirements.</t>
  </si>
  <si>
    <t xml:space="preserve">This new IIJA grant program funds state projects aimed at eliminating or controlling existing invasive plants, or preventing encroachment by new invasive plants along and in areas adjacent to transportation corridor rights-of-way, with priority given to projects using native plants and wildflowers. </t>
  </si>
  <si>
    <t>This new IIJA grant program funds activities along roadsides and highway rights-of-way that benefit pollinators, including the planting and seeding of grasses, wildflowers, and milkweed.</t>
  </si>
  <si>
    <t xml:space="preserve">This new IIJA competitive grant program funds active transportation investments that provide safe and connected active transportation facilities in active transportation networks or spines. </t>
  </si>
  <si>
    <t xml:space="preserve">Funds for these grants are set aside from those funds appropriated for the Active Transportation Infrastructure Investment Program, and they are awarded to eligible organizations to develop plans for active transportation networks and spines. </t>
  </si>
  <si>
    <t>This new IIJA pilot program provides funds to research and develop models that integrate real-time information, such as weather and roadway conditions, and authorizes the Secretary of Transportation to facilitate data integration between USDOT and the National Weather Service.</t>
  </si>
  <si>
    <t>This new IIJA pilot program provides funds to research emerging technologies (including 3-D printing technologies) and activities to reduce the impact of automated driving systems and advanced driver automation systems technologies on pavement and infrastructure performance, and to improve transportation infrastructure design.</t>
  </si>
  <si>
    <t>This program provides funds to preserve, repair, and restore the BIA system of roadways and transportation facilities. IIJA authorizes additional funds for the program over five years.</t>
  </si>
  <si>
    <t xml:space="preserve">This new IIJA program authorizes states and certain other local government entities to enter into multi-state compacts to promote an improved mobility of goods and establishes a grant program providing financial assistance to new and existing multi-state compacts. </t>
  </si>
  <si>
    <t>This new IIJA program provides single-or multi-year grants to eligible projects generating national or regional economic, mobility, or safety benefits.</t>
  </si>
  <si>
    <t>This new IIJA program provides grants for eligible surface transportation projects with significant local or regional impacts, with an equal split between rural and urban area projects. (NOTE: Codifies the prior TIGER, BUILD, and RAISE programs)</t>
  </si>
  <si>
    <t>This new IIJA program provides grants to states, local governments, and tribes to improve or restore anadromous fish passage and bring freshwater impacts to marine fish and shellfish species.</t>
  </si>
  <si>
    <t>This is new IIJA program, administered in collaboration with the National Academy of Sciences, establishes an advisory committee recommending a national research agenda on improvements to freight movement efficiency and resiliency, and publishes annual reports with ongoing research and findings.</t>
  </si>
  <si>
    <t>This program provides direct loans and loan guarantees to finance railroad infrastructure development. IIJA adds landside port infrastructure as an eligible project category and codifies the RIIF Express program, among other changes.</t>
  </si>
  <si>
    <t>Of IIJA's grants to Amtrak, a portion will go towards modernizing and eliminating repair backlog of the Northeast Corridor, which is owned mostly by Amtrak and connects eight states and Washington, D.C.</t>
  </si>
  <si>
    <t>Of IIJA's grants to Amtrak, a portion will go towards modernizing and eliminating repair backlog of Amtrak's National Network.</t>
  </si>
  <si>
    <t>Of IIJA's total appropriations to the Federal Railroad Administration, a portion is allocated towards executing railroad safety activities.</t>
  </si>
  <si>
    <t>Of IIJA's total appropriations to the Federal Railroad Administration, a portion is allocated towards activities associated with railroad research and development, which includes certain Transportation Technology Center activities and Rail Research and Development Center of Excellence grants.</t>
  </si>
  <si>
    <t>This program funds eligible projects that improve the safety, efficiency, and reliability of intercity passenger and freight rail.</t>
  </si>
  <si>
    <t>This new IIJA program provides grants for highway- or pathway-rail grade crossing improvement projects that improve the safety and mobility of people and goods.</t>
  </si>
  <si>
    <t>This program provides operating assistance grants for projects that initiate, restore, or enhance intercity passenger rail transportation.</t>
  </si>
  <si>
    <t>IIJA renames the former Federal-State Partnership for State of Good Repair program and make modifications, including expanding project eligibility beyond Amtrak- and state-owned assets to constructing new intercity passenger rail routes and capital projects that address state-of-good repair.</t>
  </si>
  <si>
    <t>This office is an independent organization headed by the Inspector General to provide objective oversight of Amtrak's programs and operations through audits and investigations to detect and prevent fraud, waste, and abuse.</t>
  </si>
  <si>
    <t xml:space="preserve">This IIJA study evaluates the restoration of daily intercity rail passenger service on Amtrack's non-daily and discontinued long-distance routes. </t>
  </si>
  <si>
    <t>Administrative expenses for the Federal Motor Carrier Safety Administration include appropriations to carry out the motor carrier safety assistance program, high priority program, and commercial motor vehicle enforcement training program, among others. IIJA authorizes appropriations for these expenses from the Highway Trust Fund.</t>
  </si>
  <si>
    <t xml:space="preserve">A portion of IIJA appropriations to the Federal Motor Carrier Safety Administration goes towards the implementation, execution, and administration of motor carrier safety operations and programs. </t>
  </si>
  <si>
    <t>This program provides grants to states to reduce the number and severity of crashes, fatalities, and injuries involving commercial motor vehicles (CMVs).</t>
  </si>
  <si>
    <t xml:space="preserve">This discretionary grant program provides funds to augment MCSAP commercial vehicle safety plan activities, maintain innovative technology, and conduct other projects that positively impact commercial motor vehicle safety. </t>
  </si>
  <si>
    <t xml:space="preserve">This program provides grants to train non-federal employees who conduct commercial motor vehicle enforcement activities and develop training materials. </t>
  </si>
  <si>
    <t>This program provides grants to train individuals to safely operate commercial motor vehicles, with priority given to training former members of the armed forces.</t>
  </si>
  <si>
    <t>This program provides grants to states to comply with certain commercial driver's license standards, as well as grants to other entities to execute national projects that aid states in their compliance efforts and improve the program.</t>
  </si>
  <si>
    <t>This program provides grants to states to conduct compliance reviews and roadside inspections, identify and apprehend traffic violators, and support safety audits on new entrant carriers.</t>
  </si>
  <si>
    <t>This program provides grants to states to improve driver behavior and safety. IIJA expands eligibilities for widespread and proper using child restraints, improving recall awareness, and preventing child heatstroke fatalities, among others, and also requires states that have legalized marijuana to consider educational programs for drivers on marijuana-impaired driving risks.</t>
  </si>
  <si>
    <t>This is a cooperative program to research and evaluate priority highway safety countermeasures. IIJA increases funding for the program and directs the Secretary of Transportation to evaluate the effectiveness of innovative behavioral traffic safety countermeasures.</t>
  </si>
  <si>
    <t>This is a universal traffic safety approach combining highly visible and proactive law enforcement to deter and change unlawful traffic behaviors. IIJA requires the Secretary of Transportation to conduct three HVE campaigns per year.</t>
  </si>
  <si>
    <t xml:space="preserve">These programs provide grants to address specific national priorities for reducing highway deaths and injuries. IIJA clarifies and expands eligibility to include program underutilization and establishes new priority programs educating drivers and law enforcement officers about proper practices for traffic stops and preventing deaths and injuries involving stopped motor vehicles. </t>
  </si>
  <si>
    <t>Supplemental highway traffic safety programs include highway safety programs, national priority safety programs, and operational expenses.</t>
  </si>
  <si>
    <t>This program assists states in identifying problem drivers through a computerized database, the "Problem Driver Pointer System."</t>
  </si>
  <si>
    <t>Crash data systems collect data from police accident reports about vehicle crashes from states. IIJA requires these systems to be revised to distinguish bicycles, electric scooters, and other personal conveyance vehicles from other vehicles, and provides grants to states to modernize data collection systems.</t>
  </si>
  <si>
    <t>This new IIJA program provides grants to metropolitan planning organizations and local and tribal governments to develop and implement safety plans preventing death and injury on roads and streets.</t>
  </si>
  <si>
    <t>IIJA authorizes appropriations for the NHTSA to execute motor vehicle safety programs and activities.</t>
  </si>
  <si>
    <t>This program funds research and development activities including behavioral research on Automated Systems and Advanced Driver Assistance Systems and improving consumer responses to safety recalls.</t>
  </si>
  <si>
    <t xml:space="preserve">The Bureau of Transportation Statistics is part of the DOT, and compiles, analyzes, and disseminates statistics on transportation, including commercial aviation, multimodal freight activity, and transportation economics. </t>
  </si>
  <si>
    <t>This new IIJA program provides competitive grants for city or community demonstration projects incorporating innovative transportation technologies or data uses, such as coordinated automation, connected vehicles, and intelligent sensor-based infrastructure.</t>
  </si>
  <si>
    <t>This new IIJA pilot program asks universities, nonprofits, and other entities to submit unsolicited research proposals to the Secretary of Transportation, who coordinates with other USDOT and federal agency research activities.</t>
  </si>
  <si>
    <t>IIJA funds hazardous materials emergency preparedness and other safety programs within USDOT, including grants promoting hazardous material response training for emergency responders.</t>
  </si>
  <si>
    <t>This new IIJA pilot program provides grants for the purchase of electric or low-emitting (methanol, natural gas, liquefied petroleum gas, hydrogen, coal-derived liquid fuels, biofuels) ferries and electrification or other reduction of existing ferry emissions.</t>
  </si>
  <si>
    <t>This new IIJA program provides funds to states to ensure basic essential ferry service for rural communities.</t>
  </si>
  <si>
    <t>This program awards grants to eligible entities to develop and evaluate transportation plans and programs. IIJA includes a greater federal share for planning activities in lower-density and lower-income parts of metropolitan areas and adjoining rural areas.</t>
  </si>
  <si>
    <t xml:space="preserve">This program provides funds to urbanized areas for transit capital, operating assistance, and transportation-related planning, including capital investments and technical transportation studies. </t>
  </si>
  <si>
    <t>This program provides formula grants to eligible recipients for transportation services planned, designed, and executed to meet the special transportation needs of seniors and individuals with disabilities in urban and rural areas.</t>
  </si>
  <si>
    <t xml:space="preserve">This program provides capital, planning, and operating assistance to eligible recipients to support public transportation in rural areas with populations less than 50,000 whom often rely on public transit. IIJA additionally sets fixed percentages for the Public Transportation on Indian Reservations and Appalachian Development Public Transportation Assistance programs. </t>
  </si>
  <si>
    <t>This program awards funds to advance innovative public transportation research and development. IIJA makes some updates, including making the Low-No Component Testing program more flexible.</t>
  </si>
  <si>
    <t xml:space="preserve">This program provides funds to execute technical assistance activities enabling more effective and efficient delivery of public transportation services, foster federal law compliance, and improve public transportation service; develop standards for the transit industry; and address public transportation workforce needs to support the industry. </t>
  </si>
  <si>
    <t xml:space="preserve">This program funds one bus testing facility to test new bus models for maintainability, reliability, safety, performance, structural integrity, fuel economy, emissions, and noise. IIJA allows authorized facilities to acquire equipment and capital projects related to testing new bus models. </t>
  </si>
  <si>
    <t>IIJA allows (Sec. 30013) transit agencies selling, retaining, or disposing rolling stock, equipment, or supplies past their useful life do not need to reimburse the FTA.</t>
  </si>
  <si>
    <t>This database is a repository for financial data, operating statistics, safety events, and asset conditions from transit systems, which is used by the FTA to apportion funds to urban and rural areas, inform decision-making, and for research. IIJA requires geographic service area coverage and data on assaults on transit workers and fatalities due to bus impact to be reported to the NTD.</t>
  </si>
  <si>
    <t>This program provides grants to transit agencies operating fixed-guideway and high-intensity motorbus systems to maintain, replace, and rehabilitate capital assets. IIJA added a competitive grant program for state and local governments to replace rail rolling stock past its useful life.</t>
  </si>
  <si>
    <t>These grants, part of the Buses and Bus Facilities program, provide formula grants to eligible recipients to replace, rehabilitate, and purchase buses and related equipment and construct bus-related facilities. IIJA additionally enables applicants to use innovative procurement tools.</t>
  </si>
  <si>
    <t>These grants, part of the Buses and Bus Facilities program, provide competitive grants to eligible recipients to replace, rehabilitate, and purchase buses and related equipment and construct bus-related facilities.</t>
  </si>
  <si>
    <t>These grants, part of the Buses and Bus Facilities program, provide competitive grants to eligible recipients for buses and bus facility projects that support low and zero-emission vehicles. IIJA ensures at least 25% of funds go towards lower-emission buses and vehicles and requires applicants for zero-emission vehicle grants to submit a zero-emission fleet transition plan.</t>
  </si>
  <si>
    <t>This formula program provides additional public transportation funds to certain growing and high-density states and is distributed through the Urbanized and Rural Area Formula Programs.</t>
  </si>
  <si>
    <t>This pilot program at the FTA funds capital projects that improve coordination and enhance access and mobility to vital community services for older adults, individuals with disabilities, and low-income individuals.</t>
  </si>
  <si>
    <t>This program provides competitive grants to transit projects in which the sponsor will seek funding through FTA's Capital Investment Grants Program and that seek to create compact, mixed-used communities with easy job and service access. IIJA allows financing for both site-specific and comprehensive planning.</t>
  </si>
  <si>
    <t>This program provides discretionary grants for fixed guideway investments including new and expanded rapid rail, commuter rail, light rail, and bus rapid transit, with eligible projects falling under New Starts, Small Starts, and Core Capacity. IIJA makes several updates and additions to the program, including requiring applicants to make progress on asset management performance targets and allowing sponsors to simultaneously move multiple projects through the pipeline, among other changes.</t>
  </si>
  <si>
    <t>This is a project category eligible for funding under the Capital Investments Grants Program, which includes the design and construction of new or extensions to fixed guideways projects with total costs greater than $300 million and seeking CIG funding of more than $150 million.</t>
  </si>
  <si>
    <t>This is a project category eligible for funding under the Capital Investments Grants Program, which includes the design and construction of corridor-based investments into existing fixed guideway systems that improve capacity by at least 10% in a corridor that is at capacity today or will be within 10 years.</t>
  </si>
  <si>
    <t>This is a project category eligible for funding under the Capital Investments Grants Program, which includes the design and construction of corridor-based bus rapid transit projects emulating rail service features that operate in mixed traffic, as well as new or extensions to fixed guideways projects with total costs less than $400 million and seeking CIG funding of less than $150 million.</t>
  </si>
  <si>
    <t>A portion of funding for the CIG program is directed to this pilot program, which seeks to expedite delivery of eligible new fixed guideway capital projects, small starts projects, or core capacity improvement projects.</t>
  </si>
  <si>
    <t xml:space="preserve">The WMATA operates the Washington, D.C. Metro, and IIJA reauthorizes federal funding at current annual levels, matched by state funding. IIJA also requires improvements in oversight, governance, and Inspector General support. </t>
  </si>
  <si>
    <t>This new IIJA program provides competitive grants to eligible entities to upgrade the accessibility of legacy rail fixed guideway public transportation systems for people with disabilities, by increasing the number of existing stations or facilities that fulfill new construction standards of the Americans with Disabilities Act.</t>
  </si>
  <si>
    <t xml:space="preserve">The Maritime Administration’s Operations and Training budget includes the U.S. Merchant Marine Academy, and other agency infrastructure, staff, and operational, and program support. </t>
  </si>
  <si>
    <t>This program provides competitive discretionary grants to projects that improve the safety, efficiency, or reliability of goods movement into, out of, around, or within ports. IIJA doubles the level of investment in port infrastructure and waterways to strengthen the supply chain and reduce pollution.</t>
  </si>
  <si>
    <t>The U.S. Army Corps of Engineers is comprised of civilians and soldiers providing engineering services, and IIJA provides funds for the Corps to initiate or complete previously authorized infrastructure studies.</t>
  </si>
  <si>
    <t>Of IIJA’s total funds appropriated to the U.S. Army Corps of Engineers, $1.5 billion is dedicated to the major rehabilitation, construction, and related activities for rivers and harbors.</t>
  </si>
  <si>
    <t>Of IIJA’s total funds appropriated to the U.S. Army Corps of Engineers, $2.5 billion is allocated to the construction, replacement, rehabilitation, and expansion of inland waterways projects in the Corps Capital Investment Strategy. IIJA states that reported project benefits to disadvantaged communities should not be limited by cost-benefit analysis.</t>
  </si>
  <si>
    <t>Of IIJA’s total funds appropriated to the U.S. Army Corps of Engineers, $808 million is allocated to Mississippi River and Tributaries, including natural disaster emergencies at project sites and studies, construction, operation, and maintenance.</t>
  </si>
  <si>
    <t>Of IIJA’s total funds appropriated to the U.S. Army Corps of Engineers, $4 billion is devoted to operations and maintenance activities.</t>
  </si>
  <si>
    <t xml:space="preserve">Of IIJA’s total funds appropriated to the U.S. Army Corps of Engineers, $160 million goes towards regulatory programs. </t>
  </si>
  <si>
    <t>Of IIJA’s total funds appropriated to the U.S. Army Corps of Engineers, $40 million goes towards general Corps expenses.</t>
  </si>
  <si>
    <t>This new IIJA grant program supports activities that reduces the likelihood and consequence of electric grid impacts due to extreme weather, wildfire, or natural disaster.</t>
  </si>
  <si>
    <t>This new IIJA program, funded by a revolving loan fund, allows the DOE to offer loans to and enter capacity contracts with transmission developers to fund eligible transmission projects, including new transmission lines or upgrades of existing lines.</t>
  </si>
  <si>
    <t>This program provides grants covering up to 50% of qualifying smart grid investments. IIJA provides more funding and expands qualifying projects under the program to include advanced transmission technologies such as dynamic line rating, flow control devices, and more.</t>
  </si>
  <si>
    <t>The Western Area Power Administration is one of four power marketing administrations in the DOE, encompassing 15 states, that markets and transmits wholesale electricity from multi-use water projects. IIJA provides funds for construction, rehabilitation, operation, and maintenance within WAPA.</t>
  </si>
  <si>
    <t>This new IIJA program awards competitive grants to eligible entities that demonstrate innovative approaches to transmission, storage, and distribution infrastructure, to improve grid reliability and resilience.</t>
  </si>
  <si>
    <t>This new IIJA activity funds power grid improvements in rural and remote areas.</t>
  </si>
  <si>
    <t xml:space="preserve">This program provides funds and technical assistance to eligible entities to enhance energy security, advance state-led energy initiatives, and maximize benefits of decreasing energy waste. </t>
  </si>
  <si>
    <t>IIJA authorizes funds in borrowing authority to assist the construction, acquisition, and replacement of the Federal Columbia River Power System and to execute the Bonneville Power Administration’s authority.</t>
  </si>
  <si>
    <t>IIJA rebalances the Columbia River Treaty by upgrading transmission capacity between Canada and the Western and Southwestern U.S. and authorizes the rehabilitation and enhancement of water storage and hydroelectric capacity, among other changes.</t>
  </si>
  <si>
    <t xml:space="preserve">This program provides funds to strengthen the energy sector’s cyber defenses by developing advanced cybersecurity applications and technologies, leveraging electric grid architecture to assess risk, conducting pilot projects, developing workforce development curricula, and developing improved supply chain concepts. </t>
  </si>
  <si>
    <t>This new IIJA program enhances and tests the emergency response capabilities of DOE and expands its cooperation with the intelligence community for energy sector-related threat collection and analysis, among other activities.</t>
  </si>
  <si>
    <t>This new IIJA program provides grants and technical assistance to utilities to protect against, detect, respond to, and recover from cybersecurity threats.</t>
  </si>
  <si>
    <t>This new IIJA program increases the functional preservation of electric grid or natural gas and oil operations when confronted with threats and hazards.</t>
  </si>
  <si>
    <t>This initiative accelerates the fundamental resources and mapping mission of the U.S. Geological Survey by providing integrated topographic, geologic, geochemical, and geophysical mapping and accelerating its integration and consolidation, and interpreting subsurface and above-ground mineral resources data.</t>
  </si>
  <si>
    <t>This program, through competitive grant programs and a national database, seeks to characterize, interpret, and disseminate accurate Earth framework models through geologic mapping and research to support responsible use of land, water, energy, and minerals and to mitigate the impact of geologic hazards on society. IIJA adds an abandoned mine land and waste geologic mapping component.</t>
  </si>
  <si>
    <t>This new facility is authorized by IIJA to support energy and minerals research and appurtenant associated structures.</t>
  </si>
  <si>
    <t>This new facility is authorized by IIJA to demonstrate the commercial feasibility of a full-scale integrated rare earth element extraction and separation facility and refinery to strengthen clean energy supply chains and provide environmental benefits through the reuse and treatment of waste material.</t>
  </si>
  <si>
    <t>This new IIJA grant program, established within DOE’s Office of Fossil Energy, seeks to ensure the U.S. has a viable battery material processing industry to supply the North American battery supply chain.</t>
  </si>
  <si>
    <t>This new IIJA grant program seeks to ensure that the U.S. has a viable domestic manufacturing and recycling capability to support a North American battery supply chain.</t>
  </si>
  <si>
    <t>IIJA continues funding for this competition, which is a $5.5-million phased prize competition incentivizing American entrepreneurs to develop and demonstrate processes with potential to profitably capture 90% of all discarded or spent lithium-based batteries in the U.S. for re-introduction into the supply chain.</t>
  </si>
  <si>
    <t>This new IIJA program awards multiyear grants to eligible entities for research, development, and demonstration projects to create innovative and practical approaches to increase the reuse and recycling of batteries.</t>
  </si>
  <si>
    <t>This new IIJA program awards competitive grants to state and local government units to assist the establishment or enhancement of state battery collection, recycling, and reprocessing programs.</t>
  </si>
  <si>
    <t>This new IIJA program awards competitive grants to retailers that sell covered batteries or battery-containing products to establish and implement a system encouraging the acceptance and collection of these covered batteries and battery-containing products for reuse, recycling, or proper disposal.</t>
  </si>
  <si>
    <t>This program awards competitive grants conducts other activities to make electric vehicle batteries easier to recycle and use in secondary applications before recycling. IIJA expands the program for research, development, and demonstration of EV battery recycling and second-life applications for vehicle batteries.</t>
  </si>
  <si>
    <t>This new IIJA program provides grants for primarily small- and medium-sized manufacturers to build new or retrofit existing manufacturing and industrial facilities to produce or recycle advanced energy products in communities with closed coal mines or coal power plants.</t>
  </si>
  <si>
    <t>IIJA creates several initiatives to address supply chain resiliency, including establishing a critical minerals mining, recycling, and reclamation research and development grant program, a Critical Minerals Subcommittee of the National Science and Technology Council, and a DOE grant program for pilot projects that process, recycle, or develop critical minerals.</t>
  </si>
  <si>
    <t>This new IIJA program awards grants to municipalities or community-owned utilities to repair, rehabilitate, or replace natural gas distribution pipeline systems or to acquire equipment to reduce incidents and fatalities and avoid economic loss.</t>
  </si>
  <si>
    <t>IIJA expands the program objectives to include the development of standards and certifications supporting commercialization of carbon dioxide products and establishes a new grant program for eligible entities to procure and use commercial or industrial products using or derived from anthropogenic carbon dioxides that demonstrate significant net reductions in lifecycle greenhouse gas emissions.</t>
  </si>
  <si>
    <t>This new IIJA program, CIFIA, provides flexible, low-interest loans to pipeline and other CO2 transportation projects.</t>
  </si>
  <si>
    <t>This program is for the research, development, and demonstration of carbon storage. IIJA expands the program to include large-scale commercialization of new or expanded carbon sequestration projects and associated CO2 transport infrastructure.</t>
  </si>
  <si>
    <t>This program is for developing transformational technologies that will significantly improve the efficiency, effectiveness, costs, emissions reductions, and environmental performance of coal and natural gas use. IIJA expands the program to include front-end engineering and design for CO2 transport infrastructure needed to deploy carbon capture, utilization, and storage technologies.</t>
  </si>
  <si>
    <t>These pilot projects, included as an activity under the Carbon Capture Technology Program, represent the scale of technology development beyond laboratory development and bench testing, but not yet to the point of being tested under real conditions at commercial scale.</t>
  </si>
  <si>
    <t>These demonstration projects, included as an activity under the Carbon Capture Technology Program, intend to demonstrate substantial improvement in the efficiency, effectiveness, cost, and environmental performance of carbon capture technologies for power, industrial, and other commercial applications.</t>
  </si>
  <si>
    <t>This is a prize competition that awards prizes for precommercial CO2 capture which meet certain criteria and performance standards.</t>
  </si>
  <si>
    <t>This is a prize competition that awards prizes to direct air capture facilities for metric tons of qualified CO2 captured and verified at the point of disposal, injection, or utilization.</t>
  </si>
  <si>
    <t xml:space="preserve">IIJA provides funding to develop four regional direct air capture hubs, which are networks of direct air capture projects, potential CO2 utilization off-takers, connective CO2 transport infrastructure, subsurface resources, and sequestration infrastructure situated within a region. </t>
  </si>
  <si>
    <t>These projects test and validate emissions-reducing technologies in sectors such as cement, iron, and steel.</t>
  </si>
  <si>
    <t>This pilot program awards competitive grants to states, utilities, and private companies for energy storage demonstration projects, including transportation and industrial processes and building and power system operations, with a priority on increasing geographic diversity of storage deployments and using competitive procurement or contracting.</t>
  </si>
  <si>
    <t>This is a joint program between the Department of Defense and DOE to demonstrate longer-duration energy storage technologies across technology types, geographic regions, and at all levels of the electric system.</t>
  </si>
  <si>
    <t>IIJA provides funds for the permitting of Class VI wells for the geologic sequestration of carbon dioxide.</t>
  </si>
  <si>
    <t>This new IIJA program awards grants to states to establish their own state underground injection control program for permitting Class VI wells for the injection of CO2.</t>
  </si>
  <si>
    <t>This new IIJA program supports the development of at least four regional clean hydrogen hubs, which are close networks of clean hydrogen producers, potential clean hydrogen consumers, and connective infrastructure, and demonstrate the production, processing, deliver, storage, and end-use of clean hydrogen.</t>
  </si>
  <si>
    <t xml:space="preserve">This new IIJA program awards grants  and makes contracts, cooperative agreements, or other agreements with eligible entities for research, development, and demonstration projects that advance new clean hydrogen production, processing, delivery, storage, and create innovative approaches to increase the reuse and recycling of clean hydrogen technologies. </t>
  </si>
  <si>
    <t>This new IIJA program aims to improve the efficiency and durability and reduce the cost of producing clean hydrogen using electrolyzers to less than $2 per kilogram by 2026, through research and demonstration projects.</t>
  </si>
  <si>
    <t>This new IIJA program evaluates nuclear reactors projected to end operations due to economic factors and allocates credits to select certified nuclear reactors.</t>
  </si>
  <si>
    <t>This program seeks to accelerate the demonstration of advanced reactors through cost-shared partnerships with U.S. industry by providing funding to eligible applicants for three different pathways: advanced reactor demonstrations, risk reduction for future demonstrations, and advanced reactor concepts.</t>
  </si>
  <si>
    <t>This program makes incentive payments to the owners or operators of qualified hydroelectric facilities for  electric energy generated and sold.</t>
  </si>
  <si>
    <t>This program makes incentive payments to the owners or operators of hydroelectric facilities at existing dams, which are used to make capital improvements in the facilities that will improve efficiency by at least 3%.</t>
  </si>
  <si>
    <t xml:space="preserve">This new IIJA directive makes incentive payments to the owners and operators of hydroelectric facilities for capital improvements related to maintaining and enhancing hydroelectricity generation by making grid resiliency, dam safety, and environmental improvements. </t>
  </si>
  <si>
    <t>This is a program under Section 634 of the Energy Independence and Security Act of 2007 that awards grants to higher education institutions or consortia to establish one or more National Marine Renewable Energy Research, Development, and Demonstration Centers, with special consideration given to specific criteria and historically Black colleges and universities.</t>
  </si>
  <si>
    <t>Section 635 of the Energy Independence and Security Act of 2007 states that nothing will be construed as waiving, modifying, or superseding the applicability of any requirement under any environmental or other federal or state law.</t>
  </si>
  <si>
    <t>This program, authorized under the Energy Act of 2020, awards grants to higher education institutions or consortia for continuing and expanding the research, development, demonstration, testing, and commercial application activities at National Marine Energy Centers and for establishing new National Marine Energy Centers.</t>
  </si>
  <si>
    <t>This is a program under the Energy Independence and Security Act of 2007, which supports the research, development, demonstration, and commercial application for enhanced geothermal systems.</t>
  </si>
  <si>
    <t>This is a program under the Energy Act of 2020, which conducts research, development, demonstration, and commercialization of wind energy technologies to improve energy efficiency, cost effectiveness, resilience, and recyclability and optimize the design and adaptability of wind energy technologies, among other goals.</t>
  </si>
  <si>
    <t>This is a program under the Energy Act of 2020 that awards funds to eligible entities for research, development, and demonstration, as well as commercialization projects to create innovative, practical approaches to increase the reuse and recycling of wind energy technologies.</t>
  </si>
  <si>
    <t>The Solar Energy Technology Program was established under the Energy Act of 2020, and IIJA provides funds to carry out the program’s research, development, demonstration, and commercialization activities (under Section 3004(b)(2)) including awarding competitive grants and awards, performing precompetitive research and development, and establishing demonstration facilities and projects, among others.</t>
  </si>
  <si>
    <t>IIJA provides funds to carry out the Solar Energy Technology Program’s Advanced Solar Energy Manufacturing Initiative (under Section 3004(b)(3)), which awards funding to eligible entities for research, development, demonstration, and commercialization projects to advance new solar energy manufacturing technologies and techniques.</t>
  </si>
  <si>
    <t xml:space="preserve">IIJA provides funds to carry out the Solar Energy Technology Program’s Solar Energy Technology Recycling Research, Development, and Demonstration Program (under Section 3004(b)(4)), which awards funding to eligible entities for projects that create innovative, practical approaches to increase the reuse and recycling of solar energy technologies. </t>
  </si>
  <si>
    <t>This new IIJA program seeks to demonstrate the technical and economic viability of executing clean energy projects on current and former mine land in a compatible way with existing operations.</t>
  </si>
  <si>
    <t>This IIJA directive establishes a demonstration project for a pumped storage hydropower project that facilitates the long-duration storage of intermittent renewable electricity.</t>
  </si>
  <si>
    <t>This new IIJA program seeks to plug, remediate, and reclaim orphaned wells on federal land by identifying, characterizing, inventorying, and ranking orphaned wells on federal land, identifying responsible parties and health or environmental effects, among other activities.</t>
  </si>
  <si>
    <t>This new IIJA program gives initial grants to states, subject to the availability of appropriations, to plug, remediate, and reclaim orphaned wells located on state- or privately-owned land.</t>
  </si>
  <si>
    <t>This new IIJA program gives formula grants to states to plug, remediate, and reclaim orphaned wells located on state- or privately-owned land.</t>
  </si>
  <si>
    <t>This new IIJA program gives performance grants to states, including regulatory improvement and matching grants, to plug, remediate, and reclaim orphaned wells located on state- or privately-owned land.</t>
  </si>
  <si>
    <t>This new IIJA program gives grants or funds on request to Indian Tribes to plug, remediate, and reclaim orphaned wells located on tribal land.</t>
  </si>
  <si>
    <t xml:space="preserve">IIJA provides funds to the Secretary of Energy to conduct research and development activities with the Interstate Oil and Gas Compact Commission to help federal land management agencies, states, and Indian Tribes to identify and characterize undocumented orphaned well and mitigate the environmental risks of undocumented orphaned wells. </t>
  </si>
  <si>
    <t>IIJA provides funds to the Interstate Oil and Gas Compact Commission to help federal land management agencies, states, and Indian Tribes to identify and characterize undocumented orphaned well and mitigate the environmental risks of undocumented orphaned wells.</t>
  </si>
  <si>
    <t>This fund, established by the Surface Mining Control and Reclamation Act of 1977, provides funds to eligible states and tribes for the reclamation of surface mining impacts associated with historical coal mining. IIJA limits the use of this fund to reclaiming coal mining sites abandoned or unreclaimed as of August 3, 1977.</t>
  </si>
  <si>
    <t>This new IIJA program seeks to inventory, assess, decommission, reclaim, respond to hazardous substance releases on, and remediate abandoned hardrock mine land based on certain conditions.</t>
  </si>
  <si>
    <t>This program seeks to preserve and expose U.S. geoscience collections to promote their discovery and use for research and resource development. IIJA directs the program to preserve samples to track geochemical signatures from critical materials, for provenance tracking.</t>
  </si>
  <si>
    <t>This research and development program (under Section 7001(a) of the Energy Act of 2020) seeks to develop and assess advanced separation technologies for the extraction and recovery of rare earth elements and other critical materials and mitigate potential environmental or public health impacts that arise from their recovery.</t>
  </si>
  <si>
    <t>This is a program under Section 7002(g) of the Energy Act of 2020 that seeks to develop alternatives to critical materials that: don’t occur in abundance in the U.S.; promote the efficient production, use, and recycling of critical materials; and ensure its long-term, secure, and sustainable supply, among other goals.</t>
  </si>
  <si>
    <t>This funding appropriation supports the construction and activities of a Critical Materials Supply Chain Research Facility (under Section 7002(h) of the Energy Act of 2020), which seeks to further enable research, development, demonstration, and commercialization activities throughout the critical material supply chain.</t>
  </si>
  <si>
    <t>This new IIJA program creates a revolving loan fund capitalization grant within state energy programs for recipients to conduct commercial and residential energy audits, or energy upgrades or retrofits.</t>
  </si>
  <si>
    <t>This new IIJA program awards competitive grants to eligible states to train individuals to conduct energy audits or surveys of commercial and residential buildings.</t>
  </si>
  <si>
    <t xml:space="preserve">This new IIJA program awards competitive grants to eligible entities for sustained cost-effective implementation of updated building energy codes. </t>
  </si>
  <si>
    <t xml:space="preserve">This IIJA directive provides grants to higher education institutions to establish building training and assessment centers to educate and train building technicians and engineers to implement modern building technologies. </t>
  </si>
  <si>
    <t>This IIJA directive awards grants to eligible entities to pay the federal share of associated career skills training programs, in which students concurrently receive classroom instruction and on-the-job training to obtain industry-related certifications to install energy efficient buildings and technologies.</t>
  </si>
  <si>
    <t xml:space="preserve">This program funds institutions of higher education-based industrial research and assessment centers to find ways to optimize energy efficiency and environmental performance at manufacturing and other industrial facilities. </t>
  </si>
  <si>
    <t>This new IIJA grant program funds upgrades to small- and medium-sized manufacturers that have been recommended in energy assessments by the Industrial Assessment Center.</t>
  </si>
  <si>
    <t>This new IIJA program provides funds to states to invest in smart manufacturing technologies.</t>
  </si>
  <si>
    <t xml:space="preserve">This new IIJA directive awards competitive grants to make energy efficiency, renewable energy, and alternative fueled vehicle upgrades and improvements at public school facilities. </t>
  </si>
  <si>
    <t xml:space="preserve">This new IIJA pilot program awards grants to provide nonprofit buildings with energy-efficiency materials. </t>
  </si>
  <si>
    <t>This program seeks to reduce energy costs for low-income households by increasing the energy efficiency of their homes.</t>
  </si>
  <si>
    <t>This program, under the Low-Income Home Energy Assistance Act of 1981, provides grants to states to assist low-income households that pay a high proportion of household income for home energy, mostly for meeting their immediate home energy needs.</t>
  </si>
  <si>
    <t xml:space="preserve">This program provides grants to eligible entities to implement strategies to reduce fossil fuel emissions and total energy use and improve efficiency in the transportation, building, and other sectors. IIJA also allows its funding to be used for programs that finance energy efficiency and other clean energy capital investments, projects, loan programs, and performance contracting programs. </t>
  </si>
  <si>
    <t>This program provides direct funding to federal agencies for the development of energy and water efficiency projects and processes that address climate change mitigation and/or adaptation.</t>
  </si>
  <si>
    <t>This program provides rebates for expenditures made by qualified entities to purchase or install qualified extended product systems.</t>
  </si>
  <si>
    <t xml:space="preserve">This program provides rebates to qualified entities for expenditures made by qualified entities to replace qualified energy inefficient transformers with qualified energy efficient transformers. </t>
  </si>
  <si>
    <t xml:space="preserve">This program, administered by the Natural Resources Conservation Service, helps federal, state, local, and tribal government units protect and restore watersheds up to 250,000 acres by preventing erosion and floodwater and sediment damage, and furthering the conservation and proper use of land and water. </t>
  </si>
  <si>
    <t>This program, administered by the Natural Resources Conservation Service, assists project sponsors to rehabilitate aging project dams installed under the Pilot Watershed Program or RC&amp;D Programs, with priority given to structures posing the highest risk to life and property.</t>
  </si>
  <si>
    <t>This new IIJA program provides funding for projects supporting the restoration of fish passage through removing in-stream barriers such as culverts, small dams, dikes, and other barriers.</t>
  </si>
  <si>
    <t>This program provides competitive grants to eligible entities for coastal restoration and resiliency projects across multiple programs.</t>
  </si>
  <si>
    <t>This program provides funding to eligible states to support habitat restoration projects for Pacific anadromous salmon populations listed as threatened or endangered or identified by a state as at-risk.</t>
  </si>
  <si>
    <t xml:space="preserve">IIJA provides funding for several regional ecosystem restoration purposes, including for the Delaware River Basin Conservation Act, Klamath Basin restoration activities, a subsection of the Lake Tahoe Restoration Act, and the sagebrush steppe ecosystem. </t>
  </si>
  <si>
    <t>IIJA provides funding for restoring fish and wildlife passage by removing in-stream barriers and providing technical assistance under the National Fish Passage Program.</t>
  </si>
  <si>
    <t>IIJA provides funding to the EPA for this initiative, which accelerates efforts to protect and restore the Great Lakes.</t>
  </si>
  <si>
    <t>IIJA provides funding to the EPA for Chesapeake Bay restoration efforts.</t>
  </si>
  <si>
    <t>IIJA provides funding to the EPA for San Francisco Bay restoration efforts.</t>
  </si>
  <si>
    <t>IIJA provides funding to the EPA for Puget Sound restoration efforts.</t>
  </si>
  <si>
    <t>IIJA provides funding to the EPA for Long Island Sound restoration efforts.</t>
  </si>
  <si>
    <t>IIJA provides funding to the EPA for Gulf of Mexico restoration efforts.</t>
  </si>
  <si>
    <t>IIJA provides funding to the EPA for South Florida restoration efforts.</t>
  </si>
  <si>
    <t>IIJA provides funding to the EPA for Lake Champlain restoration efforts.</t>
  </si>
  <si>
    <t>IIJA provides funding to the EPA for Lake Pontchartrain restoration efforts.</t>
  </si>
  <si>
    <t>IIJA provides funding to the EPA for Southern New England Estuaries restoration efforts.</t>
  </si>
  <si>
    <t>IIJA provides funding to the EPA for Columbia River Basin restoration efforts.</t>
  </si>
  <si>
    <t>IIJA provides funding to the EPA for restoration efforts in other geographic areas, including the Pacific Northwest.</t>
  </si>
  <si>
    <t>IIJA provides funding to the EPA for this program, which protects and restores the water quality and ecological integrity of 28 nationally significant estuaries.</t>
  </si>
  <si>
    <t>IIJA provides funding to the EPA for this action plan, which is a national strategy to reduce, mitigate, and control hypoxia in the North Gulf of Mexico and improve water quality in the Mississippi River Basin. Funds are apportioned equally among the twelve states that compose the Mississippi River watershed.</t>
  </si>
  <si>
    <t>IIJA provides funding for the design, study, and construction of aquatic ecosystem restoration and protection projects, including habitat restoration and improved fish passage.</t>
  </si>
  <si>
    <t xml:space="preserve">IIJA provides funding to the USDA Natural Resources Conservation Service for this program, which repairs damage to the waterways and watersheds due to natural disasters. </t>
  </si>
  <si>
    <t xml:space="preserve">IIJA provides funding to NOAA for coastal and inland flood and inundation mapping and forecasting, to better inform life and property decisions and mitigate flooding impacts. </t>
  </si>
  <si>
    <t>IIJA provides funding for the Disaster Relief Fund, which is used for pre-disaster hazard mitigation assistance under FEMA’s Building Resilient Infrastructure and Communities grant program.</t>
  </si>
  <si>
    <t>IIJA provides funding for this fund, which is used for flood mitigation actions and assistance activities under the National Flood Insurance Act of 1968.</t>
  </si>
  <si>
    <t>IIJA provides funds to compile and disseminate information on floods and flood damages, including identifying areas subject to flood inundation and providing general guidance and advice for flood hazard planning.</t>
  </si>
  <si>
    <t xml:space="preserve">IIJA provides funds to protect highways, bridge approaches, public works, and nonprofit public services from flooding. </t>
  </si>
  <si>
    <t>IIJA provides funding for inland flood risk management projects, with priority given to projects that directly benefit economically disadvantaged communities and areas with disproportionately large minority and impoverished populations.</t>
  </si>
  <si>
    <t>IIJA provides funding for flood control and coastal emergencies, which include repair of damages to existing projects such as nonfederal levees and shore protection.</t>
  </si>
  <si>
    <t>IIJA provides funding for the National Oceans and Coastal Security Fund, which awards grants to eligible entities to better understand and use ocean and coastal resources and infrastructure, including scientific research, ocean observing, and other activities.</t>
  </si>
  <si>
    <t>IIJA provides funding to study enhancements made to the National Integrated Drought Information System, which provides data and information for integrated drought monitoring and forecasting.</t>
  </si>
  <si>
    <t>IIJA provides funding to NOAA for marine debris assessment, prevention, mitigation, and removal.</t>
  </si>
  <si>
    <t>IIJA provides funding for marine debris prevention and removal through the National Sea Grant College Program.</t>
  </si>
  <si>
    <t>These grants provide funding to coastal states for projects that address wetlands, coastal hazards, public access, marine debris, cumulative and secondary impacts, special area management plans, ocean and Great Lakes resources, energy and government facility siting, and aquaculture.</t>
  </si>
  <si>
    <t>IIJA provides funding to upgrade the U.S. buoy and ocean observation network, including installing and implementing high-frequency radar systems and underwater gliders to detect harmful algal blooms and ensure safe navigation.</t>
  </si>
  <si>
    <t>IIJA provides funding for Regional Ocean Partnerships to coordinate interstate and intertribal management of ocean, Great Lakes, and coastal resources and implement priority actions.</t>
  </si>
  <si>
    <t>IIJA provides funding to support NOAA’s efforts related to the Endangered Species Act, the Marine Mammal Protection Act, and Essential Fish Habitat.</t>
  </si>
  <si>
    <t>IIJA provides funding to increase NOAA’s supercomputing capacity and infrastructure used for weather and climate model development to improve drought, flood, and wildfire prediction, detection, and forecasting.</t>
  </si>
  <si>
    <t xml:space="preserve">IIJA provides funding for habitat restoration projects through the National Estuarine Research Reserve System, which contains 29 coastal sites designated to protect and study estuarine systems. </t>
  </si>
  <si>
    <t>IIJA provides funding for coastal storm risk management, hurricane and storm damage reduction projects, and related activities that target states impacted by federally declared disasters in the last six years.</t>
  </si>
  <si>
    <t>IIJA provides funding for water storage, groundwater storage, and conveyance projects, of which a portion is set aside to provide grants to plan and construct small surface water and groundwater storage projects.</t>
  </si>
  <si>
    <t>This special account, under the Omnibus Public Land Management Act of 2009, provides funds for the conduct of extraordinary operation and maintenance work at project facilities required to preserve structural safety, including major rehabilitation and replacement activities.</t>
  </si>
  <si>
    <t xml:space="preserve">IIJA provides funding for rural water projects authorized by an Act of Congress before July 1, 2021. </t>
  </si>
  <si>
    <t>IIJA provides funding for certain eligible water recycling and reuse projects authorized in accordance with the Reclamation Wastewater and Groundwater Study Facilities Act and for large-scale water recycling and reuse projects that provide substantial water supply and other benefits to Reclamation States.</t>
  </si>
  <si>
    <t>IIJA provides funding for certain eligible water desalination projects and studies authorized in accordance with the Water Desalination Act of 1996.</t>
  </si>
  <si>
    <t>This program, under the Reclamation Safety of Dams Act of 1978, evaluates and implements corrective actions addressing dam safety concerns.</t>
  </si>
  <si>
    <t xml:space="preserve">IIJA provides funding for these grants, which funds any improvements to conserve water, increase water use efficiency, facilitate water markets, enhance water management, among other activities, and additionally requires that a portion of funding is made available for projects that improve the condition of a natural or nature-based feature. </t>
  </si>
  <si>
    <t>IIJA provides funding to implement the Colorado River Basin Drought Contingency Plan, signed by all seven Colorado River Basin states to reduce risks from ongoing drought and protect the water resource, of which a portion is made available for the Upper Colorado River Basin.</t>
  </si>
  <si>
    <t>IIJA provides financial assistance for water management projects, which are projects that enhance water conservation, improve water quality and ecological resiliency, reduce potential for water conflicts, or meet other goals deemed appropriate.</t>
  </si>
  <si>
    <t>IIJA funds the design, study, and construction of aquatic ecosystem restoration and protection projects in Reclamation States to improve the health of fisheries, wildlife, or aquatic habitat.</t>
  </si>
  <si>
    <t>IIJA funds and authorizes a new competitive grant program for those habitat restoration projects in river basins impacted by Bureau of Reclamation water projects.</t>
  </si>
  <si>
    <t>IIJA provides funds for endangered species recovery and conservation programs in the Colorado River Basin.</t>
  </si>
  <si>
    <t>IIJA provides funding to continue progress on the Central Utah Project, a decades-long federal water resource development project that moves water from the Colorado River basin in eastern Utah to the Wasatch Mountain’s western slopes.</t>
  </si>
  <si>
    <t>IIJA provides funding for the Coast Guard’s operations and support activities, including personnel and administrative expenses.</t>
  </si>
  <si>
    <t xml:space="preserve">IIJA provides funding for housing, family support, safety, and training facilities listed in the Coast Guard’s unfunded priorities list for fiscal year 2022. </t>
  </si>
  <si>
    <t>IIJA provides funding for shore construction addressing facility deficiencies listed in the Coast Guard’s unfunded priorities list for fiscal year 2022.</t>
  </si>
  <si>
    <t>IIJA provides funding for shore construction supporting operational assets and maritime commerce listed in the Coast Guard’s unfunded priorities list for fiscal year 2022.</t>
  </si>
  <si>
    <t>IIJA provides funding for constructing and improving childcare development centers listed in the Coast Guard’s unfunded priorities list for fiscal year 2022.</t>
  </si>
  <si>
    <t>IIJA provides operations and support funds to implement activities under the National Dam Safety Program Act, including providing grants and financial assistance to states to establish, maintain, and improve dam safety programs and rehabilitate eligible high hazard potential dams.</t>
  </si>
  <si>
    <t>IIJA provides federal assistance funds to implement activities under the National Dam Safety Program Act, including federal agency activities that foster state efforts to develop and implement programs for dam safety.</t>
  </si>
  <si>
    <t>IIJA reauthorizes and provides funds for EPA to provide technical assistance and grants to states and public water systems responding to drinking water emergencies to help mitigate drinking water threats to public health.</t>
  </si>
  <si>
    <t>All states have a Drinking Water State Revolving Loan Fund Program that provides revolving low-interest loans to eligible recipients for drinking water infrastructure projects. The program provides capitalization grants, awarded to states to create and maintain DWSRF programs.</t>
  </si>
  <si>
    <t xml:space="preserve">IIJA directs a portion of this program's funding for lead service line replacement projects and related activities connected to the identification, planning, design, and replacement of lead service lines. </t>
  </si>
  <si>
    <t>IIJA directs a portion of this program’s funding to address emerging contaminants in drinking water, especially perfluoroalkyl and polyfluoroalkyl substances.</t>
  </si>
  <si>
    <t>This is an authorization for EPA capitalization grants for the DWSRF (see Division J, General Provisions—Environmental Protection Agency).</t>
  </si>
  <si>
    <t xml:space="preserve">This program allows eligible entities to submit a source water quality protection partnership petition to the state requesting assistance in the local development of a voluntary, incentive-based partnership among the entity, to reduce drinking water contaminants, get financial or technical assistance, or develop long-term recommendations to protect source water. </t>
  </si>
  <si>
    <t>This program provides grants for small and disadvantaged communities that are unable to finance projects or activities needed to comply with the Safe Drinking Water Act. IIJA authorizes a portion of funding provided to states from this program to address emerging contaminants for small and disadvantaged communities.</t>
  </si>
  <si>
    <t>IIJA amends this program to authorize a grant program that helps states assist underserved communities in responding to imminent and substantial contamination.</t>
  </si>
  <si>
    <t>IIJA amends this program to establish a grant program for small and disadvantaged public water systems to increase resilience to natural hazards.</t>
  </si>
  <si>
    <t xml:space="preserve">IIJA amends this program to establish a new grant program that provides assistance to public water systems or nonprofit entities to voluntarily connect individual households to public water systems. </t>
  </si>
  <si>
    <t>IIJA amends this program to establish a competitive grant program for states, with priority given to those with a high proportion of underserved communities.</t>
  </si>
  <si>
    <t xml:space="preserve">IIJA amends this grant program by expanding eligible entities and grant uses and authorizes the EPA to provide grant funds to low-income homeowners or landlords providing housing to low-income renters with priority given to disadvantaged communities, among other changes. </t>
  </si>
  <si>
    <t xml:space="preserve">This new IIJA pilot program provides grants to eligible entities for lead reduction projects demonstrated or suspected to exist based on available data, information, or resources, including existing lead inventorying. </t>
  </si>
  <si>
    <t xml:space="preserve">This new IIJA program awards grants to eligible entities to improve the operational sustainability of one or more small public water systems. </t>
  </si>
  <si>
    <t xml:space="preserve">This new IIJA program awards grants to public water systems serving 10,000 or more people to increase resilience to natural hazards and extreme weather events and reduce cybersecurity vulnerabilities. </t>
  </si>
  <si>
    <t xml:space="preserve">IIJA provides funds for the Voluntary School and Child Care Program Lead Testing Grant Program and expands its eligible entities and activities to include compliance monitoring and lead remediation. IIJA also requires the EPA to publish school lead testing guidance for public water systems. </t>
  </si>
  <si>
    <t>This program provides grants for 20 eligible projects in the Upper Missouri River Basin and Upper Rio Grande River Basin to improve water quality, pressure, or services. IIJA modifies the program to require that 50% of funds are used nationally and 50% are for 50 projects equally divided between the Missouri River Basin, Upper Rio Grande River Basin, Columbia River Basin, Lower Colorado River Basin, and Arkansas-White-Red-River Basin.</t>
  </si>
  <si>
    <t xml:space="preserve">IIJA creates a grant program for water systems serving 100,000 or fewer people or small and disadvantaged water systems to identify and/or deploy new or emerging drinking water infrastructure technology to enhance various aspects of drinking water. IIJA also requires a study within one year of IIJA’s enactment to examine the state of existing and emerging technologies to address cybersecurity vulnerabilities, enhance various aspects of the water of public water systems. </t>
  </si>
  <si>
    <t>IIJA provides funds for clean water research, investigations, training, and information, which includes grants to state water pollution control agencies, grants to nonprofits for technical assistance, and grants to eligible entities for training projects.</t>
  </si>
  <si>
    <t>This new IIJA program awards grants of at most $4 million to publicly owned treatment works to create or improve waste-to-energy systems.</t>
  </si>
  <si>
    <t>This pilot program provides grants to eligible entities for the engineering, design, construction, and final testing of alternative water source projects to meet critical water supply needs. IIJA amends the program’s eligible project types to include stormwater.</t>
  </si>
  <si>
    <t xml:space="preserve">This program awards grants to states, which will then award grants to municipal entities for critical stormwater infrastructure projects. IIJA amends the program to include notification systems as an eligible project and creates set-aside funding for projects in rural or financially distressed communities. </t>
  </si>
  <si>
    <t xml:space="preserve">This new IIJA program provides grants to eligible entities for planning, designing, or constructing projects that increase the resilience of publicly owned treatment works to natural hazards or cybersecurity vulnerabilities. </t>
  </si>
  <si>
    <t xml:space="preserve">This new IIJA program awards grants to qualified nonprofit entities to assist small and medium publicly owned treatment works to carry out certain activities. </t>
  </si>
  <si>
    <t>This new IIJA program awards grants to eligible entities to replace or repair equipment that improves water or energy efficiency of small publicly owned treatment works that serve fewer than 10,000 people or a disadvantaged community.</t>
  </si>
  <si>
    <t xml:space="preserve">This new IIJA program provides grants to private nonprofits to construct, repair, or replace individual or multi-household decentralized wastewater systems, with a priority for those without access to sanitary disposal systems. </t>
  </si>
  <si>
    <t xml:space="preserve">This new IIJA program awards competitive grants to eligible entities to help cover the costs of connecting low-income individuals to publicly owned treatment works. </t>
  </si>
  <si>
    <t>This program leverages federal-state partnerships to provide communities low-cost financing for water quality infrastructure projects. The program provides capitalization grants to states, part of which is used to provide principal forgiveness and/or grants.</t>
  </si>
  <si>
    <t xml:space="preserve">IIJA directs a portion of this program’s funding to address emerging contaminants within the framework of eligible CWSRF activities. </t>
  </si>
  <si>
    <t>This is an authorization for EPA capitalization grants for the CWSRF (see Division J, General Provisions—Environmental Protection Agency).</t>
  </si>
  <si>
    <t xml:space="preserve">The Innovative Water Infrastructure Workforce Development program provides grants to build the water workforce and connect individuals to careers in the drinking water and wastewater utility sector. IIJA amends the program by expanding grant use to include diversity recruitment and promotion, training, and retention within the water sector, among other changes. </t>
  </si>
  <si>
    <t>IIJA reauthorizes grants to Alaska to develop and construct public water and wastewater systems in its rural and Native villages to improve health and sanitation conditions.</t>
  </si>
  <si>
    <t>This new IIJA pilot program awards competitive grants to eligible entities to establish systems that improve the sharing of information between states and local governments about water quality, infrastructure needs, and water technologies.</t>
  </si>
  <si>
    <t xml:space="preserve">IIJA reauthorizes the Water Infrastructure Finance and Innovation Act (WIFIA), which accelerates investment in national water infrastructure with long-term, low-cost supplemental loans for regionally and nationally significant projects. IIJA additionally requires the EPA to develop an outreach plan to promote the program to small and rural communities. </t>
  </si>
  <si>
    <t>IIJA provides funds for providing direct and guaranteed loans for safety projects that maintain, upgrade, and repair dams identified in the National Inventory of Dams.</t>
  </si>
  <si>
    <t>This new IIJA program provides grants supporting the creation of centers of excellence for stormwater control infrastructure at research institutions, nonprofits, and institutions of higher education.</t>
  </si>
  <si>
    <t xml:space="preserve">This new IIJA program provides grants to state, local, and tribal governments for stormwater infrastructure projects that involve new and emerging technologies, with priority going to small, rural, and disadvantaged communities with municipal combined storm and sanitary systems. </t>
  </si>
  <si>
    <t xml:space="preserve">IIJA directs the EPA to conduct an assessment of capital improvement needs for all projects eligible under the Clean Water State Revolving Fund program at least every four years. </t>
  </si>
  <si>
    <t xml:space="preserve">This act establishes water resources research institutes, promotes a more adequate national program of water research, among other purposes. IIJA requires each Water Resource Research Institute to provide a nonfederal match equal to the federal funds provided and submit an annual report about it and requires evaluations of each institute every five years. </t>
  </si>
  <si>
    <t>IIJA requires the EPA to provide funding to carry out groundwater research on enhanced aquifer use and recharge to support sole-source aquifers, in which at least 50% of funding is used to provide one grant to a state, local government unit, or Tribe to carry out activities to directly support this research and the remainder is provided to one research center.</t>
  </si>
  <si>
    <t xml:space="preserve">IIJA establishes this new fund within the Treasury of the U.S., with deposited funds used by the Secretary of the Interior to transfer resources to any enacted Indian water rights settlement enacted prior to November 15, 2021. </t>
  </si>
  <si>
    <t>IIJA appropriates funds to the Corps of Engineers and state, regional, and other eligible entities to prepare these comprehensive plans as authorized in accordance with section 22 of the Water Resources Development Act of 1974 and to submit reports and recommendations regarding Federal participation in carrying out these plans.</t>
  </si>
  <si>
    <t>IIJA provides additional funding to the Army Corps of Engineers for construction addressing water-related environmental infrastructure assistance needs.</t>
  </si>
  <si>
    <t xml:space="preserve">The largest of IIJA’s broadband programs, the BEAD program will provide eligible entities with initial funding to support broadband planning and related capacity. Following this planning phase, remaining funds will be allocated by formula and states and territories will propose projects to meet the priority of bringing broadband to unserved areas, underserved areas, and community anchor institutions. </t>
  </si>
  <si>
    <t>IIJA requires the FCC to establish an online mapping tool to provide an overview of the geographic footprint of broadband infrastructure deployment development projects funded by the federal government.</t>
  </si>
  <si>
    <t>This program was previously implemented under the Consolidated Appropriations Act of 2021, providing funding for broadband deployment, telehealth, distance learning, broadband affordability, and digital inclusion for tribal governments.</t>
  </si>
  <si>
    <t>This program expands and extends middle mile broadband infrastructure, in order to reduce costs of connecting unserved and underserved areas to backbone broadband infrastructure.</t>
  </si>
  <si>
    <t>Part of the Digital Equity Act, this program provides formula grants to states and territories to develop digital equity plans.</t>
  </si>
  <si>
    <t>Part of the Digital Equity Act, this program provides formula grants to states and territories to implement digital equity plans and projects.</t>
  </si>
  <si>
    <t>Part of the Digital Equity Act, this program provides discretionary grants to a broad range of eligible entities (including political subdivisions, nonprofits, anchor institutions) to support efforts to achieve digital equity, promote digital inclusion activities, and spur greater adoption of broadband among covered populations.</t>
  </si>
  <si>
    <t>IIJA provides funding to the Office of the Inspector General for the Department of Commerce for audits and oversight of funds made available to carry out certain Digital Equity Act programs.</t>
  </si>
  <si>
    <t>This program replaces the Emergency Broadband Benefit (EBB) program authorized through the American Rescue Plan Act, and will provide a $30 per month broadband benefit to qualifying households.</t>
  </si>
  <si>
    <t xml:space="preserve">This covers the cost of broadband loans, as authorized by section 601 of the Rural Electrification Act. </t>
  </si>
  <si>
    <t xml:space="preserve">This program, administered by the USDA’s Rural Utilities Service, provides broadband loans and grants to areas with at least 50% of households in a rural area, without sufficient access to broadband. Recipients are required to spend $5 million of their award on the establishment and growth of broadband cooperatives. </t>
  </si>
  <si>
    <t>These funds support the Federal Permitting Improvement Steering Council’s government-wide efforts to modernize the federal permitting and review process for major infrastructure projects.</t>
  </si>
  <si>
    <t>IIJA provides funds to address a range of wildfire risk reduction and ecosystem restoration activities, including technology to rapidly detect and report wildfire starts, the development of a distinct “wildland firefighter” occupational series through OPM, the establishment of a collaborative forest landscape restoration program and a community wildfire defense grant program.</t>
  </si>
  <si>
    <t>This program provides funds for the construction of temporary roads or reconstruction and maintenance of roads to facilitate forest restoration and management projects that reduce wildfire risk.</t>
  </si>
  <si>
    <t>IIJA provides the USDA Forest Service additional funds to support volunteer fire assistance.</t>
  </si>
  <si>
    <t>IIJA provides the USDA Forest Service additional funds to support state fire assistance.</t>
  </si>
  <si>
    <t>IIJA amends the Forest Roads and Trails Act to establish this program, through which the Forest Service must—taking into account foreseeable changes in weather and hydrology—perform critical maintenance and urgent repairs and improvements on National Forest System’s roads, trails, and bridges to primarily improve public safety, water quality, wildlife habitats, and recreational access.</t>
  </si>
  <si>
    <t xml:space="preserve">IIJA provides additional capital improvement and maintenance funds to the USDA Forest Service to support the removal of non-hydropower federal dams and for providing dam technical assistance. </t>
  </si>
  <si>
    <t>IIJA provides funding for a GAO study into the implementation of Title VIII, which focuses on natural resources-related infrastructure, wildfire management, and ecosystem restoration.</t>
  </si>
  <si>
    <t>IIJA codifies, and authorizes funding for, this program to improve the health and resilience of forest landscapes across National Forest Service land as well as state, tribal, and private land.</t>
  </si>
  <si>
    <t>This captures the state and private forestry spending not covered by Wildfire risk reduction and ecosystem restoration (Secs. 40803 and 40804), State Fire Assistance, or Volunteer Fire Assistance in our breakdown.</t>
  </si>
  <si>
    <t>IIJA provides funding to NOAA for wildfire prediction, detection, observation, modeling, and forecasting for fiscal year 2022 as well as for procurement, acquisition and construction for the observation and dissemination infrastructure used for wildfire prediction, detection, and forecasting.</t>
  </si>
  <si>
    <t>IIJA provides additional funding to clean up pollution through Superfund (CERCLA), a program that allows EPA to clean up contaminated sites and forces polluters to either perform the cleanup activities or reimburse EPA for them.</t>
  </si>
  <si>
    <t>IIJA provides additional funding for grants through section 104(k) of Superfund (CERCLA). These grants will be to scale community-led brownfields revitalization.</t>
  </si>
  <si>
    <t>IIJA provides additional funding to provide technical assistance grants to States and Tribes to establish or enhance state and tribal response programs to assess, clean up, and redevelop brownfield sites.</t>
  </si>
  <si>
    <t>These technical assistance grants provide support to businesses seeking to develop and implement source reduction (pollution prevention, P2) practices before pollution enters the environment.</t>
  </si>
  <si>
    <t>IIJA funds this grant program, established in the Save our Seas 2.0 Act, which provides grants to states for projects to improve local post-consumer materials management, including municipal recycling programs.</t>
  </si>
  <si>
    <t>IIJA provides EPA with funding to establish best practices and labeling guidelines for battery recycling.</t>
  </si>
  <si>
    <t>IIJA provides EPA with funding to award grants focused on improving material recycling, recovery, management, and reduction, as part of the RECYCLE Act (included within IIJA).</t>
  </si>
  <si>
    <t>This bioproduct pilot program, established by IIJA, will study product development, production scale-up, cost savings, greenhouse gas emission reductions, and life cycle characteristics associated with using certain agricultural commodities in construction and consumer products.</t>
  </si>
  <si>
    <t xml:space="preserve">Authorized in the STORM Act of 2021, these revolving loan funds for hazard mitigation assistance can finance water, wastewater, infrastructure, disaster recovery, community and small business development projects. </t>
  </si>
  <si>
    <t>Of the funding provided to the Bureau of Indian Affairs for tribal climate resilience, adaptation, and community relocation planning, design, and implementation of projects which address the varying climate challenges facing tribal communities across the country, this amount is set aside to support community relocation.</t>
  </si>
  <si>
    <t>Of the funding provided to the Bureau of Indian Affairs for tribal climate resilience, adaptation, and community relocation planning, design, and implementation of projects which address the varying climate challenges facing tribal communities across the country, this amount is set aside to support climate resilience and adaptation projects.</t>
  </si>
  <si>
    <t>IIJA provides the Bureau of Indian Affairs additional funding for construction, repair, improvement, and maintenance of irrigation and power systems, dam safety, water sanitation, and other facilities.</t>
  </si>
  <si>
    <t>IIJA provides funds over five years for the IHS Sanitation Facilities Construction program, which provides water and waste disposal facilities for eligible American Indian and Alaska Native homes and communities.</t>
  </si>
  <si>
    <t>IIJA provides funds to the Science and Technology Directorate for critical infrastructure security and resilience research, development, testing, and evaluation.</t>
  </si>
  <si>
    <t>IIJA reauthorizes the Appalachian Regional Commission, adds additional counties to the Commission’s region, and provides additional funding to establish an Appalachian Regional Energy Hub for natural gas and natural gas liquids and deploy high-speed broadband in the Appalachian region.</t>
  </si>
  <si>
    <t>IIJA provides additional funding to the Delta Regional Authority, a federal-state economic development partnership investing in transportation infrastructure, basic public infrastructure, workforce training, and business development in the lower Mississippi River Delta and Alabama Black Belt Regions.</t>
  </si>
  <si>
    <t>IIJA provides additional funding to the Denali Commission, an independent federal agency that provides critical utilities, infrastructure, and economic support throughout Alaska.</t>
  </si>
  <si>
    <t xml:space="preserve">IIJA provides additional funding to the Northern Border Regional Commission, a federal-state economic and community development partnership investing in critical economic and community development projects throughout the Northern Border region. </t>
  </si>
  <si>
    <t>IIJA provides additional funding to the Southeast Crescent Regional Commission, a federal-state commission created to help address the community and economic development within the seven-state region of Alabama, Florida, Georgia, Mississippi, North Carolina, South Carolina, and Virginia. Although the Southeast Crescent Regional Commission was originally authorized in 2008 and has received annual appropriations, it is not yet fully active.</t>
  </si>
  <si>
    <t>IIJA provides additional funding to the Southwest Border Regional Commission, created to address economic distress in the southern border regions of Arizona, California, New Mexico, and Texas. Although the Southwest Border Regional Commission was originally authorized in 2008 and has received annual appropriations, it is not yet fully active.</t>
  </si>
  <si>
    <t>IIJA provides additional funding to the Office of the National Cyber Director, a recently-created office working to address and mitigate the risks and threats at large in cyberspace.</t>
  </si>
  <si>
    <t>IIJA establishes this fund to implement the Cyber Response and Recovery Act of 2021, which also authorizes key cyber emergency authorities and directs certain agency heads to implement national, state, and local cybersecurity capacity programs.</t>
  </si>
  <si>
    <t>IIJA establishes this grant program states and localities to address cybersecurity risks and threats to information systems owned or operated by, or on behalf of, state, local, or tribal governments.</t>
  </si>
  <si>
    <t>IIJA provides funds to U.S. Customs and Border Protection for furniture, fixtures, and equipment for land ports of entry modernized with funding provided to the General Services Administration.</t>
  </si>
  <si>
    <t xml:space="preserve">IIJA provides funds to U.S. Customs and Border Protection for land port of entry construction, modernization, and sustainment. </t>
  </si>
  <si>
    <t>IIJA provides funds to the Federal Buildings Fund for construction and acquisition, and repairs and alterations of border stations and land ports of entry, including moving governmental agencies in connection with the assignment, allocation and transfer of space, leasing of temporary space, and building operations.</t>
  </si>
  <si>
    <t>IIJA provides funds to the Federal Buildings Fund for projects on the U.S. Customs and Border Protection five-year plan.</t>
  </si>
  <si>
    <t>IIJA provides funds to the Federal Buildings Fund for projects with completed feasibility studies as prioritized in the American Jobs Plan Project List submitted to the House and Senate Committees on Appropriations.</t>
  </si>
  <si>
    <t>IIJA provides funds to the Federal Buildings Fund for land ports of entry infrastructure paving, acquisition of leased land ports of entry, and additional Federal Motor Carrier Safety Administration requirements at the Southern Border.</t>
  </si>
  <si>
    <t>IIJA makes permanent and expands the Department of Commerce Minority Business Development Agency (MBDA), which aims to promote the growth and competitiveness of minority-owned businesses by providing technical assistance, access to capital, and market opportunities.</t>
  </si>
  <si>
    <t>This program provides access to expert services and grants to enhance the technical capacity of eligible entities to facilitate and evaluate public-private partnerships in which the private sector partner could assume a greater role in project planning, development, financing, construction, maintenance, and operation, including by assisting eligible entities in entering into asset concessions.</t>
  </si>
  <si>
    <t>Grants for Planning, Feasibility Analysis, Revenue Forecasting (set-aside)</t>
  </si>
  <si>
    <t>https://www.govinfo.gov/content/pkg/BILLS-117s1817is/html/BILLS-117s1817is.htm</t>
  </si>
  <si>
    <t>Tribal Transportation Facility Bridges (set-aside)</t>
  </si>
  <si>
    <t>https://www.energy.gov/articles/doe-and-dot-launch-joint-effort-build-out-nationwide-electric-vehicle-charging-network</t>
  </si>
  <si>
    <t>https://afdc.energy.gov/laws/12732</t>
  </si>
  <si>
    <t>This is a provision in the Rural Surface Transportation Grant which requires no more than 10% of funds to be granted to small projects less than $25 million.</t>
  </si>
  <si>
    <t>https://www.arc.gov/appalachian-development-highway-system/</t>
  </si>
  <si>
    <t>Rural Roadway Lane Departure Fatalities</t>
  </si>
  <si>
    <t>https://highways.dot.gov/federal-lands/programs/significant</t>
  </si>
  <si>
    <t>https://www.naco.org/resources/legislative-analysis-counties-infrastructure-investment-jobs-act</t>
  </si>
  <si>
    <t>https://policy.transportation.org/wp-content/uploads/sites/59/2021/09/2021-09-15-AASHTO-Comprehensive-Analysis-of-IIJA-FINAL.pdf</t>
  </si>
  <si>
    <t>https://www.fhwa.dot.gov/fastact/factsheets/highwayrdfs.cfm</t>
  </si>
  <si>
    <t>Strategic Innovation for Revenue Collection (set aside)</t>
  </si>
  <si>
    <t>National Motor Vehicle Per-Mile User Fee Pilot (set aside)</t>
  </si>
  <si>
    <t>Advanced Transportation Technologies and Innovative Mobility Deployment (set aside)</t>
  </si>
  <si>
    <t>https://www.fhwa.dot.gov/fastact/factsheets/technologyinnovationfs.cfm</t>
  </si>
  <si>
    <t>Accelerated Implementation and Deployment of Pavement Technologies (set aside)</t>
  </si>
  <si>
    <t>https://www.fhwa.dot.gov/pavement/pubs/hif18058.pdf</t>
  </si>
  <si>
    <t>Accelerated Implementation and Deployment of Advanced Digital Construction Management Systems (set-aside)</t>
  </si>
  <si>
    <t>https://www.fhwa.dot.gov/bipartisan-infrastructure-law/docs/highway_authorizations_nov302021.pdf</t>
  </si>
  <si>
    <t>Advanced Transportation Technologies and Innovative Mobility Deployment</t>
  </si>
  <si>
    <t>Training and Education (Highways)</t>
  </si>
  <si>
    <t>https://www.fhwa.dot.gov/fastact/factsheets/itsprogramfs.cfm</t>
  </si>
  <si>
    <t>https://www.transportation.gov/content/university-transportation-centers</t>
  </si>
  <si>
    <t>https://www.bts.gov/about-BTS</t>
  </si>
  <si>
    <t>Reconnecting Communities  Construction Grants</t>
  </si>
  <si>
    <t>General Operating Expenses/ARC (Highways)</t>
  </si>
  <si>
    <t>https://www.fhwa.dot.gov/fastact/summary.cfm</t>
  </si>
  <si>
    <t>On-the-Job Training</t>
  </si>
  <si>
    <t>https://www.fhwa.dot.gov/fastact/factsheets/workforcedbefs.cfm</t>
  </si>
  <si>
    <t>Disadvantaged Business Enterprises (Highways)</t>
  </si>
  <si>
    <t>https://www.transportation.gov/civil-rights/disadvantaged-business-enterprise</t>
  </si>
  <si>
    <t>Highway Use Tax Evasion Projects</t>
  </si>
  <si>
    <t>https://www.fhwa.dot.gov/fastact/factsheets/highwayusetaxevasionfs.cfm</t>
  </si>
  <si>
    <t>Tribal High Priority Projects Program</t>
  </si>
  <si>
    <t>Stopping Threats on Pedestrians</t>
  </si>
  <si>
    <t>https://www.arc.gov/</t>
  </si>
  <si>
    <t>https://www.arc.gov/news/legislative-update-president-biden-signs-infrastructure-investment-and-jobs-act-which-includes-1-billion-for-arc-over-five-years/</t>
  </si>
  <si>
    <t>ARC Energy Hub</t>
  </si>
  <si>
    <t>https://www.arc.gov/about-the-appalachian-regional-commission/</t>
  </si>
  <si>
    <t>https://www.fhwa.dot.gov/safetealu/factsheets/denali.htm</t>
  </si>
  <si>
    <t>https://crsreports.congress.gov/product/pdf/R/R45997</t>
  </si>
  <si>
    <t>Pollinator-Friendly Practices on Roadsides and Highway Rights of Way</t>
  </si>
  <si>
    <t>Active Transportation Infrastructure Investment Program</t>
  </si>
  <si>
    <t>Planning and Design Grants (set-aside)</t>
  </si>
  <si>
    <t>Data Integration Pilot Program</t>
  </si>
  <si>
    <t>Emerging Technology Research Pilot Program</t>
  </si>
  <si>
    <t>Bureau of Indian Affairs Road Maintenance Program</t>
  </si>
  <si>
    <t>https://www.bia.gov/bia/ois/division-transportation/operations</t>
  </si>
  <si>
    <t>Multi-State Freight Corridor Planning</t>
  </si>
  <si>
    <t>National Infrastructure Project Assistance Grants</t>
  </si>
  <si>
    <t>Local and Regional Project Assistance (RAISE) Grants</t>
  </si>
  <si>
    <t>National Culvert Removal, Replacement, and Restoration Grant Program</t>
  </si>
  <si>
    <t>National Multimodal Cooperative Freight Research Program</t>
  </si>
  <si>
    <t>https://afdc.energy.gov/laws/infrastructure-investment-jobs-act</t>
  </si>
  <si>
    <t>Railroad Rehabilitation and Improvement Financing Codification and Reforms</t>
  </si>
  <si>
    <t>https://www.transportation.gov/buildamerica/financing/rrif</t>
  </si>
  <si>
    <t>Grants to Amtrak: Northeast Corridor</t>
  </si>
  <si>
    <t>https://nec.amtrak.com/</t>
  </si>
  <si>
    <t>https://www.amtrak.com/content/dam/projects/dotcom/english/public/documents/corporate/reports/Amtrak-2021-Corridor-Vision-060121.pdf</t>
  </si>
  <si>
    <t>Grants to Amtrak: National Network</t>
  </si>
  <si>
    <t>Federal Railroad Administration: Safety and Operations</t>
  </si>
  <si>
    <t>https://www.govtrack.us/congress/bills/117/hr3684/text/enr</t>
  </si>
  <si>
    <t>https://railroads.dot.gov/BIL</t>
  </si>
  <si>
    <t>https://railroads.dot.gov/grants-loans/competitive-discretionary-grant-programs/consolidated-rail-infrastructure-and-safety-2</t>
  </si>
  <si>
    <t>Consolidated Rail Infrastructure and Safety Improvements Grants</t>
  </si>
  <si>
    <t>https://railroads.dot.gov/elibrary/railroad-crossing-elimination-grant-program-fact-sheet</t>
  </si>
  <si>
    <t>Railroad Crossing Elimination Program</t>
  </si>
  <si>
    <t>Restoration and Enhancement Grants</t>
  </si>
  <si>
    <t>https://railroads.dot.gov/grants-loans/competitive-discretionary-grant-programs/restoration-and-enhancement-grant-program</t>
  </si>
  <si>
    <t>Federal-State Partnership for Intercity Passenger Rail Grants</t>
  </si>
  <si>
    <t>https://crsreports.congress.gov/product/pdf/IF/IF11920</t>
  </si>
  <si>
    <t>https://amtrakoig.gov/about-us</t>
  </si>
  <si>
    <t>Amtrak Daily Long-Distance Service Study</t>
  </si>
  <si>
    <t>Administrative Expenses for Federal Motor Carrier Safety Administration</t>
  </si>
  <si>
    <t>https://www.transportation.gov/sites/dot.gov/files/2020-02/FMCSA FY 2021 CJ 2-5-2020 508.pdf</t>
  </si>
  <si>
    <t>Motor Carrier Safety Operations Program</t>
  </si>
  <si>
    <t>Motor Carrier Safety Assistance Program</t>
  </si>
  <si>
    <t>https://www.fmcsa.dot.gov/grants/mcsap-basic-incentive-grant/motor-carrier-safety-assistance-program-mcsap-grant</t>
  </si>
  <si>
    <t>https://www.fmcsa.dot.gov/grants/mcsap-high-priority-grant/motor-carrier-safety-assistance-program-mcsap-high-priority-grant</t>
  </si>
  <si>
    <t>High Priority Motor Carrier Safety Assistance Program</t>
  </si>
  <si>
    <t>https://www.govinfo.gov/content/pkg/BILLS-117hr3684eas/html/BILLS-117hr3684eas.htm</t>
  </si>
  <si>
    <t>https://uscode.house.gov/view.xhtml?req=granuleid:USC-prelim-title49-section31103&amp;num=0&amp;edition=prelim</t>
  </si>
  <si>
    <t>Commercial Motor Vehicle Enforcement Training and Support Grant Program</t>
  </si>
  <si>
    <t>Commercial Motor Vehicle Operators Grant Program</t>
  </si>
  <si>
    <t>Financial Assistance Program for Commercial Driver's License Implementation</t>
  </si>
  <si>
    <t>https://www.fmcsa.dot.gov/grants/cdl-program-implementation-grant/commercial-driver-license-cdl-program-implementation-grant</t>
  </si>
  <si>
    <t>Motor Carrier Safety Grants</t>
  </si>
  <si>
    <t>https://www.fmcsa.dot.gov/sites/fmcsa.dot.gov/files/docs/Budget_Estimates_FY_2016.pdf</t>
  </si>
  <si>
    <t>Highway Safety Program</t>
  </si>
  <si>
    <t>https://www.ncsl.org/documents/statefed/IIJA-Section-by-Section.pdf</t>
  </si>
  <si>
    <t>Highway Safety Research and Development</t>
  </si>
  <si>
    <t>High-Visibility Enforcement Program</t>
  </si>
  <si>
    <t>https://one.nhtsa.gov/Driving-Safety/Enforcement-&amp;-Justice-Services/HVE</t>
  </si>
  <si>
    <t>National Priority Safety Programs</t>
  </si>
  <si>
    <t>https://www.ghsa.org/about/federal-grant-programs/405</t>
  </si>
  <si>
    <t>https://www.law.cornell.edu/uscode/text/23/402</t>
  </si>
  <si>
    <t>https://one.nhtsa.gov/Data/National-Driver-Register-(NDR)</t>
  </si>
  <si>
    <t>National Driver Register</t>
  </si>
  <si>
    <t>Crash Data</t>
  </si>
  <si>
    <t>https://www.nhtsa.gov/crash-data-systems/state-data-programs</t>
  </si>
  <si>
    <t>Safe Streets and Roads for All Grant Program</t>
  </si>
  <si>
    <t>Vehicle Safety (Sec. 24201)</t>
  </si>
  <si>
    <t>https://www.law.cornell.edu/uscode/text/23/403</t>
  </si>
  <si>
    <t>Vehicle Safety and Behavioral Research Programs</t>
  </si>
  <si>
    <t>Strengthening Mobility and Revolutionizing Transportation Grant Program</t>
  </si>
  <si>
    <t>Open Research Initiative</t>
  </si>
  <si>
    <t>Hazardous Materials</t>
  </si>
  <si>
    <t>Electric or Low-Emitting Ferry Pilot Program</t>
  </si>
  <si>
    <t>Ferry Service for Rural Communities</t>
  </si>
  <si>
    <t>Planning Programs (Transportation)</t>
  </si>
  <si>
    <t>https://www.transit.dot.gov/funding/grants/fact-sheet-ferry-service-rural-communities</t>
  </si>
  <si>
    <t>https://www.law.cornell.edu/uscode/text/49/5305</t>
  </si>
  <si>
    <t>https://www.transit.dot.gov/funding/grants/fact-sheet-urbanized-area-formula-grants-program</t>
  </si>
  <si>
    <t>https://www.transit.dot.gov/funding/grants/fact-sheet-enhanced-mobility-seniors-and-individuals-disabilities</t>
  </si>
  <si>
    <t>https://www.transit.dot.gov/funding/grants/fact-sheet-formula-grants-rural-areas</t>
  </si>
  <si>
    <t>https://www.transit.dot.gov/funding/grants/fact-sheet-public-transportation-innovation</t>
  </si>
  <si>
    <t>https://www.transit.dot.gov/funding/grants/fact-sheet-technical-assistance-and-workforce-development</t>
  </si>
  <si>
    <t>FTA Administration (Supply Sales)</t>
  </si>
  <si>
    <t>https://www.transit.dot.gov/funding/grants/fact-sheet-bus-testing-program</t>
  </si>
  <si>
    <t>https://www.congress.gov/bill/117th-congress/house-bill/3684/text</t>
  </si>
  <si>
    <t>https://www.transit.dot.gov/funding/grants/fact-sheet-national-transit-database</t>
  </si>
  <si>
    <t>https://www.transit.dot.gov/funding/grants/fact-sheet-state-good-repair-and-rail-vehicle-replacement-program</t>
  </si>
  <si>
    <t>Bus Formula Grants</t>
  </si>
  <si>
    <t>Bus Competitive Grants</t>
  </si>
  <si>
    <t>Low or No Emission Grants</t>
  </si>
  <si>
    <t>https://www.transit.dot.gov/funding/grants/fact-sheet-buses-and-bus-facilities-program</t>
  </si>
  <si>
    <t>Capital Investments Grants</t>
  </si>
  <si>
    <t>https://crsreports.congress.gov/product/pdf/R/R42706/20</t>
  </si>
  <si>
    <t>https://www.transit.dot.gov/funding/grants/fact-sheet-innovative-coordinated-access-mobility-pilot-program</t>
  </si>
  <si>
    <t>https://www.transit.dot.gov/funding/grants/fact-sheet-pilot-program-transit-oriented-development-planning</t>
  </si>
  <si>
    <t>https://www.transit.dot.gov/funding/grants/fact-sheet-capital-investment-grants-program</t>
  </si>
  <si>
    <t>https://www.transit.dot.gov/funding/grants/grant-programs/expedited-project-delivery-pilot-program-section-3005b</t>
  </si>
  <si>
    <t>Washington Metropolitan Area Transit Authority Safety, Accountability, and Investment</t>
  </si>
  <si>
    <t>Maritime Administration Operations and Training</t>
  </si>
  <si>
    <t>Maritime Administration Port Infrastructure Development Program</t>
  </si>
  <si>
    <t>Completion of Corps of Engineers Studies Previously Authorized</t>
  </si>
  <si>
    <t>https://www.transit.dot.gov/funding/grants/fact-sheet-all-stations-accessibility-program</t>
  </si>
  <si>
    <t>https://www.maritime.dot.gov/sites/marad.dot.gov/files/docs/grants-finances/12286/2020-02-12-kathy-thomas-fy-2021-cong-budget-submission-final-2-5-20.pdf</t>
  </si>
  <si>
    <t>https://www.maritime.dot.gov/PIDPgrants</t>
  </si>
  <si>
    <t>https://www.usace.army.mil/About/</t>
  </si>
  <si>
    <t>Major Rehabilitation (Army Corps)</t>
  </si>
  <si>
    <t>Construction, Replacement (Army Corps)</t>
  </si>
  <si>
    <t>Mississippi River and Tributaries (Army Corps)</t>
  </si>
  <si>
    <t>Operation and Maintenance (Army Corps)</t>
  </si>
  <si>
    <t>Regulatory Program (Army Corps)</t>
  </si>
  <si>
    <t>Corps of Engineers Expenses</t>
  </si>
  <si>
    <t>Preventing Outages and Enhancing the Resilience of the Electric Grid</t>
  </si>
  <si>
    <t>https://crsreports.congress.gov/product/pdf/download/IN/IN11723/IN11723.pdf/</t>
  </si>
  <si>
    <t>https://www.nga.org/news/commentary/house-passes-bipartisan-infrastructure-package/</t>
  </si>
  <si>
    <t>https://crsreports.congress.gov/product/pdf/IN/IN11723</t>
  </si>
  <si>
    <t>https://crsreports.congress.gov/product/pdf/IN/IN11821</t>
  </si>
  <si>
    <t>Smart Grid Investment</t>
  </si>
  <si>
    <t>Construction, Rehabilitation, Operation and Maintenance</t>
  </si>
  <si>
    <t>Power Marketing Administration Transmission Borrowing Authority</t>
  </si>
  <si>
    <t>https://bipartisanpolicy.org/blog/the-grid-wins-big-in-the-iija/</t>
  </si>
  <si>
    <t>https://www.wapa.gov/About/Pages/about.aspx</t>
  </si>
  <si>
    <t>https://www.naseo.org/Data/Sites/1/documents/tk-news/infrastructure-bill-electric-system-resilience-transmission-and-distribution-summary-01102022.pdf</t>
  </si>
  <si>
    <t>https://www.energy.gov/eere/wipo/state-energy-program</t>
  </si>
  <si>
    <t>https://www.energy.gov/ea/power-marketing-administrations</t>
  </si>
  <si>
    <t>Columbia Basin Power Management</t>
  </si>
  <si>
    <t>Cybersecurity for Energy Sector</t>
  </si>
  <si>
    <t>Rural and Municipal Utility Advanced Cybersecurity</t>
  </si>
  <si>
    <t>Modeling and Assessing Energy Infrastructure Risk</t>
  </si>
  <si>
    <t>https://www.cantwell.senate.gov/download/iija-section-by-section</t>
  </si>
  <si>
    <t>https://www.energy.gov/ceser/energy-sector-cybersecurity-preparedness</t>
  </si>
  <si>
    <t>https://www.congress.gov/bill/116th-congress/senate-bill/2333/text</t>
  </si>
  <si>
    <t>https://www.energy.gov/ceser/articles/investing-secure-resilient-and-clean-energy-future</t>
  </si>
  <si>
    <t>https://www.usgs.gov/special-topics/earth-mri</t>
  </si>
  <si>
    <t>https://www.usgs.gov/programs/national-cooperative-geologic-mapping-program</t>
  </si>
  <si>
    <t>USGS Energy and Minerals Research Facility</t>
  </si>
  <si>
    <t>Rare Earth Elements Demonstration Facility</t>
  </si>
  <si>
    <t>Battery Processing and Manufacturing</t>
  </si>
  <si>
    <t>Battery Material Processing Grants</t>
  </si>
  <si>
    <t>Battery Manufacturing and Recycling Grants</t>
  </si>
  <si>
    <t>https://www.usgs.gov/mission-areas/energy-and-minerals</t>
  </si>
  <si>
    <t>https://www.energy.gov/fecm/office-fossil-energy-and-carbon-management</t>
  </si>
  <si>
    <t>https://americanmadechallenges.org/batteryrecycling/</t>
  </si>
  <si>
    <t>Battery Recycling Research, Development, and Demonstration Grants</t>
  </si>
  <si>
    <t>State and Local Programs (Batteries)</t>
  </si>
  <si>
    <t>Retailers as Collection Points (Batteries)</t>
  </si>
  <si>
    <t>Electric Drive Vehicle Battery Recycling and Second-Life Applications Program</t>
  </si>
  <si>
    <t>Advanced Energy Manufacturing and Recycling Grant Program</t>
  </si>
  <si>
    <t>Critical Minerals Mining and Recycling Research</t>
  </si>
  <si>
    <t>https://www.naseo.org/Data/Sites/1/documents/tk-news/naseo-iija-manufacturing-industrial-summary-16-dec-2021.pdf</t>
  </si>
  <si>
    <t>https://www.whitehouse.gov/briefing-room/statements-releases/2021/12/13/fact-sheet-the-biden-harris-electric-vehicle-charging-action-plan/</t>
  </si>
  <si>
    <t>Natural Gas Distribution Infrastructure Safety and Modernization Grant Program</t>
  </si>
  <si>
    <t>Carbon Utilization Program (DOE)</t>
  </si>
  <si>
    <t>Carbon Dioxide Transportation Infrastructure Finance and Innovation</t>
  </si>
  <si>
    <t>Carbon Storage Validation and Testing</t>
  </si>
  <si>
    <t>https://www.phmsa.dot.gov/grants/pipeline/natural-gas-distribution-infrastructure-safety-and-modernization-grants</t>
  </si>
  <si>
    <t>https://netl.doe.gov/sites/default/files/2021-07/Program-155.pdf#:~:text=The%20U.S.%20Department%20of%20Energy%E2%80%99s%20%28DOE%29%20Carbon%20Utilization,in%20an%20efficient%2C%20economical%2C%20and%20environmentally%20responsible%20manner.</t>
  </si>
  <si>
    <t>https://www.energy.gov/sites/default/files/2021-12/FECM Infrastructure Factsheet.pdf</t>
  </si>
  <si>
    <t>Carbon Capture Technology Program</t>
  </si>
  <si>
    <t>Carbon Capture Large-Scale Pilot Projects</t>
  </si>
  <si>
    <t>Carbon Capture Demonstration Projects Program</t>
  </si>
  <si>
    <t>Direct Air Capture Technology Precommercial Prize Competitions</t>
  </si>
  <si>
    <t>Direct Air Capture Technology Commercial Prize Competitions</t>
  </si>
  <si>
    <t>Regional Clean Direct Air Capture Hubs</t>
  </si>
  <si>
    <t>Industrial Emissions Demonstration Project</t>
  </si>
  <si>
    <t>https://www.naseo.org/Data/Sites/1/documents/tk-news/naseo-iija-mfg-indust-ccus-h2-summary-6-jan-2022.pdf</t>
  </si>
  <si>
    <t>https://www.wri.org/insights/decarbonize-us-industry</t>
  </si>
  <si>
    <t>https://energystorage.org/wp/wp-content/uploads/2020/12/Energy-Act-of-2020-Summary_v7.pdf</t>
  </si>
  <si>
    <t>Long-duration Demonstration Initiative and Joint Program (Energy Storage)</t>
  </si>
  <si>
    <t>Regional Clean Hydrogen Hubs</t>
  </si>
  <si>
    <t>State Permitting Program Grants (Energy)</t>
  </si>
  <si>
    <t>Clean Hydrogen Electrolysis</t>
  </si>
  <si>
    <t>Civil Nuclear Credit Program</t>
  </si>
  <si>
    <t>Advanced Reactor Demonstration Program</t>
  </si>
  <si>
    <t>Hydroelectric Production Incentives</t>
  </si>
  <si>
    <t>Hydro Efficiency Improvement Incentives</t>
  </si>
  <si>
    <t>Maintaining and Enhancing Hydro Incentives</t>
  </si>
  <si>
    <t>https://www.energy.gov/articles/saving-existing-nuclear-fleet-brings-net-zero-future-closer#:~:text=Through%20the%20Civil%20Nuclear%20Credit%20program%2C%20owners%20or,of%20good-paying%20clean%20energy%20jobs%20across%20the%20country.</t>
  </si>
  <si>
    <t>https://www.energy.gov/ne/advanced-reactor-demonstration-program</t>
  </si>
  <si>
    <t>https://www.govinfo.gov/content/pkg/PLAW-109publ58/html/PLAW-109publ58.htm</t>
  </si>
  <si>
    <t>Hydropower and Marine Energy Activities under Section 634 of the Energy Independence and Security Act of 2007</t>
  </si>
  <si>
    <t>Hydropower and Marine Energy Activities under Section 635 of the Energy Independence and Security Act of 2007</t>
  </si>
  <si>
    <t>Geothermal Energy</t>
  </si>
  <si>
    <t>Wind Energy Tech Program</t>
  </si>
  <si>
    <t>https://www.govinfo.gov/content/pkg/PLAW-110publ140/html/PLAW-110publ140.htm</t>
  </si>
  <si>
    <t>https://www.aip.org/sites/default/files/aipcorp/images/fyi/pdf/energy-act-of-2020.pdf</t>
  </si>
  <si>
    <t>Wind Energy Tech Recycling Research, Development, and Demonstration Program</t>
  </si>
  <si>
    <t>Solar Energy Activities under Section 3004(b)(2) of the Energy Act of 2020</t>
  </si>
  <si>
    <t>Solar Energy Activities under Section 3004(b)(3) of the Energy Act of 2020</t>
  </si>
  <si>
    <t>Solar Energy Activities under Section 3004(b)(4) of the Energy Act of 2020</t>
  </si>
  <si>
    <t>Clean Energy Demonstration Program on Current and Former Mine Land</t>
  </si>
  <si>
    <t>https://www.cantwell.senate.gov/imo/media/doc/Infrastructure Investment and Jobs Act - Section by Section Summary.pdf</t>
  </si>
  <si>
    <t>Pumped Storage Hydropower Wind and Solar Integration and System Reliability Initiative</t>
  </si>
  <si>
    <t>Program to plug, remediate, and reclaim orphaned wells located on federal land</t>
  </si>
  <si>
    <t>Initial grants to states to plug, remediate, and reclaim orphaned wells located on state-owned or privately owned land</t>
  </si>
  <si>
    <t>Formula grants to states to plug, remediate, and reclaim orphaned wells located on state-owned or privately owned land</t>
  </si>
  <si>
    <t>Performance grants to states to plug, remediate, and reclaim orphaned wells located on state-owned or privately owned land</t>
  </si>
  <si>
    <t>DOE research in cooperation with Interstate Oil and Gas Compact Commission</t>
  </si>
  <si>
    <t>Interstate Oil and Gas Compact Commission</t>
  </si>
  <si>
    <t>Abandoned Mine Reclamation Fund</t>
  </si>
  <si>
    <t>Abandoned Hardrock Mine Reclamation</t>
  </si>
  <si>
    <t>National Geological and Geophysical Data Preservation Program</t>
  </si>
  <si>
    <t>https://iogcc.ok.gov/</t>
  </si>
  <si>
    <t>https://crsreports.congress.gov/product/pdf/IF/IF11352</t>
  </si>
  <si>
    <t>https://www.osmre.gov/bil</t>
  </si>
  <si>
    <t>Rare Earth Mineral Security</t>
  </si>
  <si>
    <t>Critical Material Innovation, Efficiency, and Alternatives</t>
  </si>
  <si>
    <t>Critical Material Supply Chain Research Facility</t>
  </si>
  <si>
    <t>Energy Efficiency Revolving Loan Fund Capitalization Grant Program</t>
  </si>
  <si>
    <t>https://www.usgs.gov/programs/national-geological-and-geophysical-data-preservation-program#:~:text=The%20Energy%20Policy%20Act%20of,for%20research%20and%20resource%20development.</t>
  </si>
  <si>
    <t>Energy Auditor Training Grant Program</t>
  </si>
  <si>
    <t>Cost-Effective Codes Implementation for Efficiency and Resilience</t>
  </si>
  <si>
    <t>Building, Training, and Assessment Centers</t>
  </si>
  <si>
    <t>Career Skills Training (Energy)</t>
  </si>
  <si>
    <t>Future of Industry Program and Industrial Research and Assessment Centers</t>
  </si>
  <si>
    <t>Implementation Grants (Energy)</t>
  </si>
  <si>
    <t>State Manufacturing Leadership</t>
  </si>
  <si>
    <t>Energy Efficiency Materials Pilot Program</t>
  </si>
  <si>
    <t>Weatherization Assistance Program</t>
  </si>
  <si>
    <t>Low Income Home Energy Assistance</t>
  </si>
  <si>
    <t>Assisting Federal Facilities with Energy Conservation Technologies (AFFECT) Program</t>
  </si>
  <si>
    <t>https://www.energy.gov/eere/wap/weatherization-assistance-program</t>
  </si>
  <si>
    <t>https://www.acf.hhs.gov/ocs/law-regulation/liheap-statute</t>
  </si>
  <si>
    <t>https://www.energy.gov/eere/femp/assisting-federal-facilities-energy-conservation-technologies-affect-federal-agency-call#:~:text=The%20Federal%20Energy%20Management%20Program%20%28FEMP%29%20provides%20direct,projects%20and%20processes%20at%20U.S.%20federal%20government-owned%20facilities.</t>
  </si>
  <si>
    <t>Natural Resources Conservation Service Watershed and Flood Prevention Operations</t>
  </si>
  <si>
    <t>Watershed Rehabilitation Program</t>
  </si>
  <si>
    <t>Community-Based Restoration Program: Fish Passage Barrier Removal</t>
  </si>
  <si>
    <t>Habitat Restoration and Community Resilience Program</t>
  </si>
  <si>
    <t>Pacific Coastal Salmon Recovery Fund</t>
  </si>
  <si>
    <t>https://www.nrcs.usda.gov/wps/portal/nrcs/detail/national/programs/landscape/wfpo/?cid=nrcs143_008271</t>
  </si>
  <si>
    <t>https://www.nrcs.usda.gov/wps/portal/nrcs/detail/null/?cid=nrcs142p2_034921</t>
  </si>
  <si>
    <t>https://www.commerce.senate.gov/2021/11/historic-investments-to-rebuild-america-s-transportation-infrastructure-spur-economic-growth-are-on-the-way-as-iija-heads-to-president-s-desk</t>
  </si>
  <si>
    <t>https://www.fisheries.noaa.gov/west-coast/endangered-species-conservation/pacific-coastal-salmon-recovery-fund#:~:text=The%20Pacific%20Coastal%20Salmon%20Recovery%20Fund%20%28PCSRF%29%20was,salmon%20and%20steelhead%20species%20on%20the%20West%20Coast.</t>
  </si>
  <si>
    <t>Regional Ecosystem Restoration Purposes</t>
  </si>
  <si>
    <t>Restoring Fish and Wildlife Passage</t>
  </si>
  <si>
    <t>Chesapeake Bay Restoration</t>
  </si>
  <si>
    <t>San Francisco Bay Restoration</t>
  </si>
  <si>
    <t>Puget Sound Restoration</t>
  </si>
  <si>
    <t>Long Island Sound Restoration</t>
  </si>
  <si>
    <t>Gulf of Mexico Restoration</t>
  </si>
  <si>
    <t>South Florida Restoration</t>
  </si>
  <si>
    <t>Lake Champlain Restoration</t>
  </si>
  <si>
    <t>Lake Pontchartrain Restoration</t>
  </si>
  <si>
    <t>Southern New England Estuaries Restoration</t>
  </si>
  <si>
    <t>Columbia River Basin Restoration</t>
  </si>
  <si>
    <t>Other restoration activities, including the Pacific Northwest</t>
  </si>
  <si>
    <t>https://www.usgs.gov/special-topics/great-lakes-restoration-initiative</t>
  </si>
  <si>
    <t>https://www.epa.gov/restoration-chesapeake-bay</t>
  </si>
  <si>
    <t>https://www.epa.gov/infrastructure/fact-sheet-epa-bipartisan-infrastructure-law</t>
  </si>
  <si>
    <t>https://www.epa.gov/puget-sound</t>
  </si>
  <si>
    <t>https://www.epa.gov/nep/overview-national-estuary-program</t>
  </si>
  <si>
    <t>Emergency Watershed Protection Program</t>
  </si>
  <si>
    <t>Disaster Relief Fund: Pre-Disaster Mitigation Assistance</t>
  </si>
  <si>
    <t>National Flood Insurance Fund</t>
  </si>
  <si>
    <t>https://www.epa.gov/sites/default/files/2015-03/documents/2008_8_28_msbasin_ghap2008_update082608.pdf</t>
  </si>
  <si>
    <t>https://www.nrcs.usda.gov/wps/portal/nrcs/main/national/programs/landscape/ewpp/</t>
  </si>
  <si>
    <t>https://www.noaa.gov/news-release/statement-from-noaa-administrator-rick-spinrad-on-signing-of-bipartisan-infrastructure-investment</t>
  </si>
  <si>
    <t>https://crsreports.congress.gov/product/pdf/IN/IN11733</t>
  </si>
  <si>
    <t>https://www.fema.gov/flood-insurance#:~:text=The%20National%20Flood%20Insurance%20Program%20provides%20insurance%20to,than%2050%20insurance%20companies%20and%20the%20NFIP%20Direct.</t>
  </si>
  <si>
    <t>https://www.law.cornell.edu/uscode/text/33/709a</t>
  </si>
  <si>
    <t>National Oceans and Coastal Security Fund</t>
  </si>
  <si>
    <t>National Integrated Drought Information System</t>
  </si>
  <si>
    <t>Coastal zone enhancement technical assistance</t>
  </si>
  <si>
    <t>https://www.govinfo.gov/content/pkg/PLAW-114publ113/html/PLAW-114publ113.htm</t>
  </si>
  <si>
    <t>https://cpo.noaa.gov/Interagency-Programs/NIDIS</t>
  </si>
  <si>
    <t>https://www.boem.gov/environment/regional-ocean-partnerships</t>
  </si>
  <si>
    <t>Consultations and permitting (NOAA)</t>
  </si>
  <si>
    <t>https://oceanservice.noaa.gov/ecosystems/nerrs/</t>
  </si>
  <si>
    <t>https://www.govinfo.gov/content/pkg/PLAW-111publ11/pdf/PLAW-111publ11.pdf</t>
  </si>
  <si>
    <t>https://www.usbr.gov/newsroom/#/news-release/4080</t>
  </si>
  <si>
    <t>Water recycling and reuse projects</t>
  </si>
  <si>
    <t>Desalination projects</t>
  </si>
  <si>
    <t>Safety of Dams Program</t>
  </si>
  <si>
    <t>https://www.usbr.gov/watersmart/index.html</t>
  </si>
  <si>
    <t>https://www.usbr.gov/newsroom/newsroomold/newsrelease/detail.cfm?RecordID=66103</t>
  </si>
  <si>
    <t>Colorado River Basin Drought Contingency Plan</t>
  </si>
  <si>
    <t>Multi-benefit Projects to Improve Watershed Health</t>
  </si>
  <si>
    <t>Operations and Support (Coast Guard)</t>
  </si>
  <si>
    <t>https://www.congress.gov/bill/116th-congress/house-bill/133/text</t>
  </si>
  <si>
    <t>https://www.doi.gov/cupcao</t>
  </si>
  <si>
    <t>Housing, family support, safety, and training facilities (Coast Guard)</t>
  </si>
  <si>
    <t>Shore construction addressing facility deficiencies (Coast Guard)</t>
  </si>
  <si>
    <t>Shore construction supporting operational assets and maritime commerce (Coast Guard)</t>
  </si>
  <si>
    <t>Childcare development centers (Coast Guard)</t>
  </si>
  <si>
    <t>Technical assistance and grants for emergencies affecting public water systems (EPA)</t>
  </si>
  <si>
    <t>https://www.govinfo.gov/content/pkg/COMPS-2975/pdf/COMPS-2975.pdf</t>
  </si>
  <si>
    <t>Drinking Water State Revolving Fund Program</t>
  </si>
  <si>
    <t xml:space="preserve">Drinking Water State Revolving Fund Program: Capitalization </t>
  </si>
  <si>
    <t>Drinking Water State Revolving Fund Program: Lead Service Line Replacement</t>
  </si>
  <si>
    <t>Drinking Water State Revolving Fund Program: Emerging contaminants (PFAS)</t>
  </si>
  <si>
    <t>Drinking Water State Revolving Fund Program: Authorization</t>
  </si>
  <si>
    <t>Source Water Petition Program</t>
  </si>
  <si>
    <t>https://www.epa.gov/dwsrf/how-drinking-water-state-revolving-fund-works#:~:text=Under%20the%20DWSRF%2C%20EPA%20provides,to%20match%20the%20federal%20grants.&amp;text=As%20money%20is%20paid%20back,new%20loans%20to%20other%20recipients.</t>
  </si>
  <si>
    <t>https://www.epa.gov/sites/default/files/2015-11/documents/cap_grants_for_srfs.pdf</t>
  </si>
  <si>
    <t>https://uscode.house.gov/view.xhtml?req=(title:42%20section:300j-14%20edition:prelim)</t>
  </si>
  <si>
    <t>Assistance for Small and Disadvantaged Communities</t>
  </si>
  <si>
    <t>Connection to Public Water Systems</t>
  </si>
  <si>
    <t>https://crsreports.congress.gov/product/pdf/R/R46892</t>
  </si>
  <si>
    <t>https://crsreports.congress.gov/product/pdf/R/R46893</t>
  </si>
  <si>
    <t>https://crsreports.congress.gov/product/pdf/R/R46894</t>
  </si>
  <si>
    <t>https://crsreports.congress.gov/product/pdf/R/R46895</t>
  </si>
  <si>
    <t>https://crsreports.congress.gov/product/pdf/R/R46896</t>
  </si>
  <si>
    <t>Lead Inventorying Utilization Grant Pilot Program</t>
  </si>
  <si>
    <t>Operational Sustainability of Small Public Water Systems</t>
  </si>
  <si>
    <t>Midsize and Large Drinking Water System Infrastructure Resilience and Sustainability program</t>
  </si>
  <si>
    <t>Lead Contamination in School Drinking Water Program</t>
  </si>
  <si>
    <t>Indian Reservation Drinking Water Program</t>
  </si>
  <si>
    <t>Advanced Drinking Water Technology Program</t>
  </si>
  <si>
    <t>Research, investigations, training, and information (EPA)</t>
  </si>
  <si>
    <t>Wastewater Efficiency Grant Pilot Program</t>
  </si>
  <si>
    <t>Pilot Program for Alternative Water Source Projects</t>
  </si>
  <si>
    <t>Sewer Overflow and Stormwater Reuse Municipal Grants</t>
  </si>
  <si>
    <t>Clean Water Infrastructure Resiliency and Sustainability Program</t>
  </si>
  <si>
    <t>https://www.law.cornell.edu/uscode/text/33/1300</t>
  </si>
  <si>
    <t>https://www.epa.gov/cwsrf/sewer-overflow-and-stormwater-reuse-municipal-grants-program</t>
  </si>
  <si>
    <t>Small and Medium Publicly Owned Treatment Works Circuit Rider Program</t>
  </si>
  <si>
    <t>Small Publicly Owned Treatment Works Efficiency Program</t>
  </si>
  <si>
    <t>Connection to Publicly Owned Treatment Works</t>
  </si>
  <si>
    <t>Clean Water State Revolving Fund Program</t>
  </si>
  <si>
    <t>Clean Water State Revolving Fund Program: Capitalization</t>
  </si>
  <si>
    <t>Clean Water State Revolving Fund Program: Emerging contaminants (PFAS)</t>
  </si>
  <si>
    <t>Clean Water State Revolving Fund Program: Authorization</t>
  </si>
  <si>
    <t>https://www.epa.gov/cwsrf</t>
  </si>
  <si>
    <t>Water infrastructure and workforce investment (EPA)</t>
  </si>
  <si>
    <t>Water Data Sharing Pilot Program</t>
  </si>
  <si>
    <t>Water Infrastructure Finance and Innovation Act (WIFIA) Reauthorization</t>
  </si>
  <si>
    <t>Water Infrastructure Finance and Innovation Program Account</t>
  </si>
  <si>
    <t>Centers of Excellence for Stormwater Control Infrastructure Technologies</t>
  </si>
  <si>
    <t>Stormwater Control Infrastructure Project Grants</t>
  </si>
  <si>
    <t>Clean Watersheds Needs Survey</t>
  </si>
  <si>
    <t>Research on enhanced aquifer use and recharge</t>
  </si>
  <si>
    <t>https://www.epa.gov/cwsrf/learn-about-clean-water-state-revolving-fund-cwsrf</t>
  </si>
  <si>
    <t>https://www.epa.gov/sustainable-water-infrastructure/innovative-water-infrastructure-workforce-development-program</t>
  </si>
  <si>
    <t>https://www.epa.gov/wifia</t>
  </si>
  <si>
    <t>https://www.govinfo.gov/content/pkg/STATUTE-78/pdf/STATUTE-78-Pg329.pdf</t>
  </si>
  <si>
    <t>Broadband Deployment Locations Map</t>
  </si>
  <si>
    <t>Middle Mile Deployment</t>
  </si>
  <si>
    <t>State Digital Equity Capacity Grant Program: State Digital Equity Planning Grants</t>
  </si>
  <si>
    <t>State Digital Equity Capacity Grant Program: State Capacity Grants</t>
  </si>
  <si>
    <t>Digital Equity Audit and Oversight</t>
  </si>
  <si>
    <t>http://uscode.house.gov/view.xhtml?req=(title:42%20section:1962d-16%20edition:prelim)</t>
  </si>
  <si>
    <t>https://www.usace.army.mil/Media/News-Releases/News-Release-Article-View/Article/2903380/army-civil-works-studies-projects-and-programs-to-be-accomplished-with-bipartis/</t>
  </si>
  <si>
    <t>https://broadbandusa.ntia.doc.gov/news/latest-news/ntias-role-implementing-broadband-provisions-2021-infrastructure-investment-and</t>
  </si>
  <si>
    <t>https://www.commerce.gov/news/fact-sheets/2021/11/fact-sheet-department-commerces-use-bipartisan-infrastructure-deal-funding</t>
  </si>
  <si>
    <t>Affordable Connectivity Fund</t>
  </si>
  <si>
    <t>Distance Learning, Telemedicine, and Broadband Program: Loans</t>
  </si>
  <si>
    <t>Distance Learning, Telemedicine, and Broadband Program: Loan and Grant Pilot Program</t>
  </si>
  <si>
    <t>Environmental Review Improvement Fund</t>
  </si>
  <si>
    <t>Wildfire risk reduction and ecosystem restoration (Secs. 40803 and 40804)</t>
  </si>
  <si>
    <t>Removal of non-hydropower federal dams and technical assistance</t>
  </si>
  <si>
    <t>GAO Study on Wildfire Hazards and Ecosystem Restoration</t>
  </si>
  <si>
    <t>Wildfire prediction and forecasting</t>
  </si>
  <si>
    <t>https://www.fcc.gov/broadbandbenefit</t>
  </si>
  <si>
    <t>https://www.rd.usda.gov/programs-services/telecommunications-programs</t>
  </si>
  <si>
    <t>https://www.permits.performance.gov/fpisc-content/federal-permitting-improvement-steering-council</t>
  </si>
  <si>
    <t>https://www.usda.gov/media/press-releases/2021/12/17/usda-doi-and-fema-jointly-establish-new-wildland-fire-mitigation</t>
  </si>
  <si>
    <t>https://www.usda.gov/topics/forestry</t>
  </si>
  <si>
    <t>https://www.fs.fed.us/restoration/Legacy_Roads_and_Trails/index.shtml</t>
  </si>
  <si>
    <t>https://www.fs.usda.gov/</t>
  </si>
  <si>
    <t>https://www.gao.gov/</t>
  </si>
  <si>
    <t>https://www.nrcs.usda.gov/wps/portal/nrcs/detail/national/newsroom/features/?cid=stelprdb1244394</t>
  </si>
  <si>
    <t>https://www.fs.usda.gov/about-agency/state-private-forestry</t>
  </si>
  <si>
    <t>https://www.weather.gov/fire/</t>
  </si>
  <si>
    <t>Hazardous Substance Superfund</t>
  </si>
  <si>
    <t>CERCLA Section 104(k) Grants</t>
  </si>
  <si>
    <t>CERCLA Section 128 Implementation</t>
  </si>
  <si>
    <t>Pollution Prevention Grants</t>
  </si>
  <si>
    <t>Save our Seas 2.0 Act, Post-Consumer Materials Management Grants</t>
  </si>
  <si>
    <t>https://www.epa.gov/p2/grant-programs-pollution-prevention#p2grant</t>
  </si>
  <si>
    <t>https://www.epa.gov/infrastructure/cleanup-revitalization-and-recycling-investments</t>
  </si>
  <si>
    <t>https://crsreports.congress.gov/product/pdf/IF/IF11990</t>
  </si>
  <si>
    <t>https://www.fema.gov/press-release/20211115/infrastructure-deal-provides-fema-billions-community-mitigation-investments</t>
  </si>
  <si>
    <t>https://www.bia.gov/bia/ots/tribal-climate-resilience-program</t>
  </si>
  <si>
    <t>https://www.indianaffairs.gov/tribal-consultation/bipartisan-infrastructure-law</t>
  </si>
  <si>
    <t>https://www.ihs.gov/sites/newsroom/themes/responsive2017/display_objects/documents/2021_Letters/DTLL_112221.pdf</t>
  </si>
  <si>
    <t>https://www.dhs.gov/science-and-technology/about-st</t>
  </si>
  <si>
    <t>https://dra.gov/newsroom/press-release/dra-statement-on-president-bidens-signing-of-the-bipartisan-infrastructure/</t>
  </si>
  <si>
    <t>https://www.denali.gov/</t>
  </si>
  <si>
    <t>https://www.nbrc.gov/content/about</t>
  </si>
  <si>
    <t>https://crsreports.congress.gov/product/pdf/IF/IF11744</t>
  </si>
  <si>
    <t>https://www.whitehouse.gov/ncd/</t>
  </si>
  <si>
    <t>https://www.cisa.gov/cybersecurity</t>
  </si>
  <si>
    <t>Operations and Support (CBP)</t>
  </si>
  <si>
    <t>Procurement, construction, and improvements (CBP)</t>
  </si>
  <si>
    <t>Program contingency and operational support (CBP)</t>
  </si>
  <si>
    <t>Federal building fund: Land ports of entry</t>
  </si>
  <si>
    <t>Minority Business Development</t>
  </si>
  <si>
    <t>Asset Concessions Program</t>
  </si>
  <si>
    <t>https://www.cbp.gov/</t>
  </si>
  <si>
    <t>https://www.gsa.gov/reference/reports/budget-performance/annual-reports/2019-agency-financial-report/managements-discussion-and-analysis/financial-statements-summary-and-analysis/federal-buildings-fund</t>
  </si>
  <si>
    <t>https://www.cbp.gov/newsroom/national-media-release/cbp-releases-2021-2026-strategy?_ga=2.209377937.265716079.1642983724-2134438121.1641312206</t>
  </si>
  <si>
    <t>https://www.mbda.gov/news/press-releases/2021/11/minority-business-development-agency-permanently-authorized-bipartisan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</si>
</sst>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9"/>
      <name val="Calibri"/>
      <family val="2"/>
      <scheme val="minor"/>
    </font>
    <font>
      <b/>
      <sz val="11"/>
      <name val="Calibri"/>
      <family val="2"/>
      <scheme val="minor"/>
    </font>
    <font>
      <sz val="11"/>
      <color theme="1"/>
      <name val="Calibri"/>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s>
  <borders count="8">
    <border>
      <left/>
      <right/>
      <top/>
      <bottom/>
      <diagonal/>
    </border>
    <border>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2" fillId="0" borderId="0" xfId="0" applyFont="1" applyAlignment="1" applyProtection="1">
      <alignment horizontal="center" wrapText="1"/>
      <protection locked="0"/>
    </xf>
    <xf numFmtId="0" fontId="0" fillId="0" borderId="0" xfId="0" applyProtection="1">
      <protection locked="0"/>
    </xf>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2" fontId="6" fillId="4" borderId="6" xfId="0" applyNumberFormat="1" applyFont="1" applyFill="1" applyBorder="1" applyAlignment="1">
      <alignment horizontal="center" wrapText="1"/>
    </xf>
    <xf numFmtId="0" fontId="2" fillId="5" borderId="6" xfId="0" applyFont="1" applyFill="1" applyBorder="1" applyAlignment="1">
      <alignment horizontal="center" wrapText="1"/>
    </xf>
    <xf numFmtId="0" fontId="2" fillId="6" borderId="7" xfId="0" applyFont="1" applyFill="1" applyBorder="1" applyAlignment="1">
      <alignment horizontal="center" wrapText="1"/>
    </xf>
    <xf numFmtId="0" fontId="2" fillId="6" borderId="5" xfId="0" applyFont="1" applyFill="1" applyBorder="1" applyAlignment="1">
      <alignment horizontal="center" wrapText="1"/>
    </xf>
    <xf numFmtId="0" fontId="2" fillId="7" borderId="6" xfId="0" applyFont="1" applyFill="1" applyBorder="1" applyAlignment="1">
      <alignment horizontal="center" wrapText="1"/>
    </xf>
    <xf numFmtId="0" fontId="0" fillId="0" borderId="0" xfId="0" applyAlignment="1">
      <alignment horizontal="left"/>
    </xf>
    <xf numFmtId="2" fontId="0" fillId="0" borderId="0" xfId="1" applyNumberFormat="1" applyFont="1" applyAlignment="1" applyProtection="1">
      <alignment horizontal="right"/>
    </xf>
    <xf numFmtId="43" fontId="0" fillId="0" borderId="0" xfId="1" applyFont="1" applyProtection="1"/>
    <xf numFmtId="0" fontId="3" fillId="0" borderId="0" xfId="0" applyFont="1" applyAlignment="1">
      <alignment horizontal="left"/>
    </xf>
    <xf numFmtId="2" fontId="0" fillId="0" borderId="0" xfId="0" applyNumberFormat="1" applyAlignment="1">
      <alignment horizontal="right"/>
    </xf>
    <xf numFmtId="43" fontId="0" fillId="0" borderId="0" xfId="1" applyFont="1" applyFill="1" applyProtection="1"/>
    <xf numFmtId="2" fontId="0" fillId="0" borderId="0" xfId="0" applyNumberFormat="1"/>
    <xf numFmtId="2" fontId="0" fillId="0" borderId="0" xfId="1" applyNumberFormat="1" applyFont="1" applyFill="1" applyAlignment="1" applyProtection="1">
      <alignment horizontal="right"/>
    </xf>
    <xf numFmtId="2" fontId="3" fillId="0" borderId="0" xfId="1" applyNumberFormat="1" applyFont="1" applyFill="1" applyAlignment="1" applyProtection="1">
      <alignment horizontal="right"/>
    </xf>
    <xf numFmtId="43" fontId="3" fillId="0" borderId="0" xfId="1" applyFont="1" applyFill="1" applyProtection="1"/>
    <xf numFmtId="0" fontId="3" fillId="0" borderId="0" xfId="0" applyFont="1"/>
    <xf numFmtId="2" fontId="3" fillId="0" borderId="0" xfId="0" applyNumberFormat="1" applyFont="1"/>
    <xf numFmtId="2" fontId="0" fillId="0" borderId="0" xfId="0" applyNumberFormat="1" applyAlignment="1">
      <alignment horizontal="left"/>
    </xf>
    <xf numFmtId="0" fontId="4" fillId="0" borderId="0" xfId="0" applyFont="1"/>
    <xf numFmtId="0" fontId="0" fillId="0" borderId="1" xfId="0" applyBorder="1"/>
    <xf numFmtId="0" fontId="0" fillId="0" borderId="2" xfId="0" applyBorder="1"/>
    <xf numFmtId="0" fontId="0" fillId="2" borderId="4" xfId="0" applyFill="1" applyBorder="1"/>
    <xf numFmtId="0" fontId="0" fillId="0" borderId="3" xfId="0" applyBorder="1"/>
    <xf numFmtId="0" fontId="0" fillId="0" borderId="0" xfId="0" applyAlignment="1">
      <alignment horizontal="left" indent="1"/>
    </xf>
    <xf numFmtId="4" fontId="0" fillId="0" borderId="0" xfId="0" applyNumberFormat="1"/>
    <xf numFmtId="0" fontId="5" fillId="0" borderId="0" xfId="0" applyFont="1"/>
    <xf numFmtId="164" fontId="0" fillId="0" borderId="0" xfId="0" applyNumberFormat="1"/>
    <xf numFmtId="43" fontId="3" fillId="0" borderId="0" xfId="1" applyFont="1" applyProtection="1"/>
    <xf numFmtId="0" fontId="4" fillId="0" borderId="0" xfId="0" applyFont="1" applyAlignment="1">
      <alignment horizontal="left"/>
    </xf>
    <xf numFmtId="2" fontId="4" fillId="0" borderId="0" xfId="1" applyNumberFormat="1" applyFont="1" applyFill="1" applyAlignment="1" applyProtection="1">
      <alignment horizontal="right"/>
    </xf>
    <xf numFmtId="43" fontId="4" fillId="0" borderId="0" xfId="1" applyFont="1" applyProtection="1"/>
    <xf numFmtId="43" fontId="0" fillId="0" borderId="0" xfId="1" applyFont="1" applyAlignment="1" applyProtection="1">
      <alignment horizontal="left" indent="1"/>
    </xf>
    <xf numFmtId="43" fontId="0" fillId="0" borderId="0" xfId="0" applyNumberFormat="1"/>
    <xf numFmtId="2" fontId="0" fillId="0" borderId="0" xfId="1" applyNumberFormat="1" applyFont="1" applyProtection="1"/>
    <xf numFmtId="0" fontId="0" fillId="0" borderId="0" xfId="0" applyAlignment="1">
      <alignment horizontal="center"/>
    </xf>
    <xf numFmtId="0" fontId="0" fillId="0" borderId="0" xfId="0" applyAlignment="1">
      <alignment horizontal="right" indent="1"/>
    </xf>
    <xf numFmtId="2" fontId="3" fillId="0" borderId="0" xfId="0" applyNumberFormat="1" applyFont="1" applyAlignment="1">
      <alignment horizontal="right"/>
    </xf>
    <xf numFmtId="0" fontId="0" fillId="0" borderId="0" xfId="0" applyAlignment="1">
      <alignment horizontal="right"/>
    </xf>
    <xf numFmtId="0" fontId="3" fillId="0" borderId="0" xfId="0" applyFont="1" applyAlignment="1">
      <alignment horizontal="right"/>
    </xf>
    <xf numFmtId="43" fontId="5" fillId="0" borderId="0" xfId="1" applyFont="1" applyProtection="1"/>
    <xf numFmtId="0" fontId="2" fillId="0" borderId="0" xfId="0" applyFont="1" applyAlignment="1">
      <alignment horizontal="center"/>
    </xf>
    <xf numFmtId="2" fontId="0" fillId="0" borderId="0" xfId="1" applyNumberFormat="1" applyFont="1" applyFill="1" applyProtection="1"/>
    <xf numFmtId="0" fontId="4" fillId="0" borderId="0" xfId="0" applyFont="1" applyAlignment="1">
      <alignment horizontal="left" indent="1"/>
    </xf>
    <xf numFmtId="2" fontId="4" fillId="0" borderId="0" xfId="0" applyNumberFormat="1" applyFont="1" applyAlignment="1">
      <alignment horizontal="right"/>
    </xf>
    <xf numFmtId="2" fontId="0" fillId="0" borderId="0" xfId="0" applyNumberFormat="1" applyAlignment="1">
      <alignment horizontal="right" indent="1"/>
    </xf>
    <xf numFmtId="0" fontId="3" fillId="0" borderId="0" xfId="0" applyFont="1" applyAlignment="1">
      <alignment horizontal="left" indent="4"/>
    </xf>
    <xf numFmtId="0" fontId="7" fillId="0" borderId="0" xfId="0" applyFont="1" applyProtection="1">
      <protection locked="0"/>
    </xf>
    <xf numFmtId="0" fontId="2" fillId="8" borderId="0" xfId="0" applyFont="1" applyFill="1" applyAlignment="1" applyProtection="1">
      <alignment horizontal="center" wrapText="1"/>
      <protection locked="0"/>
    </xf>
    <xf numFmtId="0" fontId="0" fillId="0" borderId="0" xfId="0" applyFont="1"/>
    <xf numFmtId="0" fontId="0" fillId="0" borderId="0" xfId="0" applyFill="1" applyProtection="1">
      <protection locked="0"/>
    </xf>
    <xf numFmtId="0" fontId="0" fillId="0" borderId="0" xfId="0" applyFill="1"/>
    <xf numFmtId="0" fontId="0" fillId="0" borderId="0" xfId="0" applyFill="1" applyAlignment="1">
      <alignment horizontal="left"/>
    </xf>
    <xf numFmtId="0" fontId="3" fillId="0" borderId="0" xfId="0"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0E2A-F9C8-8A48-9D2B-E4345EBA8FDE}">
  <dimension ref="A1:P422"/>
  <sheetViews>
    <sheetView tabSelected="1" topLeftCell="B1" zoomScale="80" zoomScaleNormal="80" workbookViewId="0">
      <pane ySplit="1" topLeftCell="A2" activePane="bottomLeft" state="frozen"/>
      <selection activeCell="C1" sqref="C1"/>
      <selection pane="bottomLeft" activeCell="K17" sqref="K17"/>
    </sheetView>
  </sheetViews>
  <sheetFormatPr defaultColWidth="11.42578125" defaultRowHeight="15" x14ac:dyDescent="0.25"/>
  <cols>
    <col min="1" max="2" width="10.7109375" customWidth="1"/>
    <col min="4" max="4" width="37" customWidth="1"/>
    <col min="5" max="5" width="28.7109375" customWidth="1"/>
    <col min="6" max="6" width="16.85546875" style="17" customWidth="1"/>
    <col min="7" max="7" width="13.42578125" customWidth="1"/>
    <col min="8" max="8" width="15.42578125" customWidth="1"/>
    <col min="9" max="9" width="13.85546875" customWidth="1"/>
    <col min="10" max="10" width="19.28515625" customWidth="1"/>
    <col min="11" max="11" width="21.28515625" customWidth="1"/>
    <col min="12" max="12" width="23.7109375" customWidth="1"/>
    <col min="13" max="13" width="24.85546875" customWidth="1"/>
    <col min="14" max="14" width="18.7109375" style="2" customWidth="1"/>
    <col min="15" max="16384" width="11.42578125" style="2"/>
  </cols>
  <sheetData>
    <row r="1" spans="1:16" s="1" customFormat="1" ht="29.25" customHeight="1" x14ac:dyDescent="0.25">
      <c r="A1" s="6" t="s">
        <v>0</v>
      </c>
      <c r="B1" s="6" t="s">
        <v>1</v>
      </c>
      <c r="C1" s="7" t="s">
        <v>2</v>
      </c>
      <c r="D1" s="7" t="s">
        <v>3</v>
      </c>
      <c r="E1" s="7" t="s">
        <v>4</v>
      </c>
      <c r="F1" s="8" t="s">
        <v>5</v>
      </c>
      <c r="G1" s="9" t="s">
        <v>6</v>
      </c>
      <c r="H1" s="9" t="s">
        <v>7</v>
      </c>
      <c r="I1" s="9" t="s">
        <v>8</v>
      </c>
      <c r="J1" s="10" t="s">
        <v>9</v>
      </c>
      <c r="K1" s="11" t="s">
        <v>10</v>
      </c>
      <c r="L1" s="11" t="s">
        <v>11</v>
      </c>
      <c r="M1" s="12" t="s">
        <v>12</v>
      </c>
      <c r="N1" s="55" t="s">
        <v>13</v>
      </c>
      <c r="O1" s="1" t="s">
        <v>277</v>
      </c>
      <c r="P1" s="1" t="s">
        <v>317</v>
      </c>
    </row>
    <row r="2" spans="1:16" x14ac:dyDescent="0.25">
      <c r="A2" t="s">
        <v>14</v>
      </c>
      <c r="B2" t="s">
        <v>15</v>
      </c>
      <c r="C2" s="56" t="s">
        <v>276</v>
      </c>
      <c r="D2" s="13"/>
      <c r="E2" s="13"/>
      <c r="F2" s="14">
        <v>5</v>
      </c>
      <c r="L2" s="15">
        <v>5</v>
      </c>
      <c r="M2" t="s">
        <v>16</v>
      </c>
      <c r="N2" s="2" t="s">
        <v>17</v>
      </c>
      <c r="O2" s="2" t="s">
        <v>278</v>
      </c>
    </row>
    <row r="3" spans="1:16" x14ac:dyDescent="0.25">
      <c r="A3" t="s">
        <v>14</v>
      </c>
      <c r="B3" t="s">
        <v>15</v>
      </c>
      <c r="C3" s="56" t="s">
        <v>279</v>
      </c>
      <c r="D3" s="13"/>
      <c r="E3" s="13"/>
      <c r="F3" s="14">
        <v>15</v>
      </c>
      <c r="L3" s="15">
        <v>15</v>
      </c>
      <c r="M3" t="s">
        <v>16</v>
      </c>
      <c r="N3" s="2" t="s">
        <v>281</v>
      </c>
      <c r="O3" s="2" t="s">
        <v>282</v>
      </c>
    </row>
    <row r="4" spans="1:16" x14ac:dyDescent="0.25">
      <c r="A4" t="s">
        <v>14</v>
      </c>
      <c r="B4" t="s">
        <v>15</v>
      </c>
      <c r="C4" s="56" t="s">
        <v>280</v>
      </c>
      <c r="D4" s="13"/>
      <c r="E4" s="13"/>
      <c r="F4" s="14">
        <v>5</v>
      </c>
      <c r="I4" t="s">
        <v>18</v>
      </c>
      <c r="L4" s="15">
        <v>5</v>
      </c>
      <c r="M4" t="s">
        <v>16</v>
      </c>
      <c r="N4" s="2" t="s">
        <v>19</v>
      </c>
      <c r="O4" s="2" t="s">
        <v>283</v>
      </c>
    </row>
    <row r="5" spans="1:16" x14ac:dyDescent="0.25">
      <c r="A5" t="s">
        <v>14</v>
      </c>
      <c r="B5" t="s">
        <v>20</v>
      </c>
      <c r="C5" s="56" t="s">
        <v>284</v>
      </c>
      <c r="D5" s="16"/>
      <c r="E5" s="16"/>
      <c r="F5" s="17">
        <v>5</v>
      </c>
      <c r="G5" t="s">
        <v>18</v>
      </c>
      <c r="H5" t="s">
        <v>18</v>
      </c>
      <c r="I5" t="s">
        <v>18</v>
      </c>
      <c r="K5" s="18">
        <f>1*5</f>
        <v>5</v>
      </c>
      <c r="L5" s="19">
        <v>5</v>
      </c>
      <c r="M5" t="s">
        <v>21</v>
      </c>
      <c r="N5" s="2" t="s">
        <v>285</v>
      </c>
      <c r="O5" s="2" t="s">
        <v>286</v>
      </c>
    </row>
    <row r="6" spans="1:16" x14ac:dyDescent="0.25">
      <c r="A6" t="s">
        <v>14</v>
      </c>
      <c r="B6" t="s">
        <v>20</v>
      </c>
      <c r="C6" s="56" t="s">
        <v>287</v>
      </c>
      <c r="F6" s="17">
        <f>J6+L6</f>
        <v>0.91200000000000014</v>
      </c>
      <c r="J6" s="18">
        <f>0.11+0.112+0.114+0.116+0.118</f>
        <v>0.57000000000000006</v>
      </c>
      <c r="L6">
        <v>0.34200000000000003</v>
      </c>
      <c r="M6" t="s">
        <v>22</v>
      </c>
      <c r="N6" s="2" t="s">
        <v>288</v>
      </c>
      <c r="O6" s="2" t="s">
        <v>289</v>
      </c>
    </row>
    <row r="7" spans="1:16" x14ac:dyDescent="0.25">
      <c r="A7" t="s">
        <v>14</v>
      </c>
      <c r="B7" t="s">
        <v>20</v>
      </c>
      <c r="C7" t="s">
        <v>23</v>
      </c>
      <c r="D7" s="56" t="s">
        <v>24</v>
      </c>
      <c r="E7" s="13"/>
      <c r="F7" s="20">
        <f>J7</f>
        <v>148.00000000224441</v>
      </c>
      <c r="J7" s="15">
        <v>148.00000000224441</v>
      </c>
      <c r="K7" s="19"/>
      <c r="L7" s="19"/>
      <c r="M7" t="s">
        <v>22</v>
      </c>
      <c r="N7" s="2" t="s">
        <v>290</v>
      </c>
      <c r="O7" s="2" t="s">
        <v>291</v>
      </c>
      <c r="P7" s="2" t="s">
        <v>292</v>
      </c>
    </row>
    <row r="8" spans="1:16" x14ac:dyDescent="0.25">
      <c r="A8" t="s">
        <v>14</v>
      </c>
      <c r="B8" t="s">
        <v>20</v>
      </c>
      <c r="C8" t="s">
        <v>23</v>
      </c>
      <c r="D8" s="13" t="s">
        <v>25</v>
      </c>
      <c r="E8" s="13" t="s">
        <v>25</v>
      </c>
      <c r="F8" s="18">
        <f>72.0000000010918-F9</f>
        <v>64.800000000091799</v>
      </c>
      <c r="J8" s="18">
        <f>72.0000000010918-J9</f>
        <v>64.800000000091799</v>
      </c>
      <c r="K8" s="19"/>
      <c r="L8" s="19"/>
      <c r="M8" t="s">
        <v>22</v>
      </c>
      <c r="N8" s="2" t="s">
        <v>293</v>
      </c>
      <c r="O8" s="2" t="s">
        <v>294</v>
      </c>
      <c r="P8" s="2" t="s">
        <v>292</v>
      </c>
    </row>
    <row r="9" spans="1:16" x14ac:dyDescent="0.25">
      <c r="A9" t="s">
        <v>14</v>
      </c>
      <c r="B9" t="s">
        <v>20</v>
      </c>
      <c r="C9" t="s">
        <v>23</v>
      </c>
      <c r="D9" s="13" t="s">
        <v>25</v>
      </c>
      <c r="E9" s="13" t="s">
        <v>295</v>
      </c>
      <c r="F9" s="18">
        <f>1.383540438+1.411211247+1.439435472+1.468224182+1.497588662</f>
        <v>7.2000000010000003</v>
      </c>
      <c r="J9" s="18">
        <f>1.383540438+1.411211247+1.439435472+1.468224182+1.497588662</f>
        <v>7.2000000010000003</v>
      </c>
      <c r="K9" s="19"/>
      <c r="L9" s="19"/>
      <c r="M9" t="s">
        <v>22</v>
      </c>
      <c r="N9" s="2" t="s">
        <v>296</v>
      </c>
      <c r="O9" s="2" t="s">
        <v>297</v>
      </c>
      <c r="P9" s="2" t="s">
        <v>292</v>
      </c>
    </row>
    <row r="10" spans="1:16" x14ac:dyDescent="0.25">
      <c r="A10" t="s">
        <v>14</v>
      </c>
      <c r="B10" t="s">
        <v>20</v>
      </c>
      <c r="C10" t="s">
        <v>23</v>
      </c>
      <c r="D10" s="13" t="s">
        <v>26</v>
      </c>
      <c r="E10" s="13"/>
      <c r="F10" s="15">
        <f>2.979761019+3.044326241+3.110182769+3.177356425+3.245873542</f>
        <v>15.557499995999999</v>
      </c>
      <c r="J10" s="15">
        <f>2.979761019+3.044326241+3.110182769+3.177356425+3.245873542</f>
        <v>15.557499995999999</v>
      </c>
      <c r="K10" s="19"/>
      <c r="L10" s="19"/>
      <c r="M10" t="s">
        <v>22</v>
      </c>
      <c r="N10" s="2" t="s">
        <v>298</v>
      </c>
      <c r="O10" s="2" t="s">
        <v>299</v>
      </c>
      <c r="P10" s="2" t="s">
        <v>292</v>
      </c>
    </row>
    <row r="11" spans="1:16" x14ac:dyDescent="0.25">
      <c r="A11" t="s">
        <v>14</v>
      </c>
      <c r="B11" t="s">
        <v>20</v>
      </c>
      <c r="C11" t="s">
        <v>23</v>
      </c>
      <c r="D11" s="56" t="s">
        <v>300</v>
      </c>
      <c r="E11" s="13"/>
      <c r="F11" s="19">
        <f>0.0035*5</f>
        <v>1.7500000000000002E-2</v>
      </c>
      <c r="J11" s="19">
        <f>0.0035*5</f>
        <v>1.7500000000000002E-2</v>
      </c>
      <c r="K11" s="19"/>
      <c r="L11" s="19"/>
      <c r="M11" t="s">
        <v>22</v>
      </c>
      <c r="N11" s="2" t="s">
        <v>301</v>
      </c>
      <c r="O11" s="2" t="s">
        <v>302</v>
      </c>
    </row>
    <row r="12" spans="1:16" x14ac:dyDescent="0.25">
      <c r="A12" t="s">
        <v>14</v>
      </c>
      <c r="B12" t="s">
        <v>20</v>
      </c>
      <c r="C12" t="s">
        <v>23</v>
      </c>
      <c r="D12" s="56" t="s">
        <v>303</v>
      </c>
      <c r="E12" s="13"/>
      <c r="F12" s="15">
        <f>0.245*5</f>
        <v>1.2250000000000001</v>
      </c>
      <c r="J12" s="15">
        <f>0.245*5</f>
        <v>1.2250000000000001</v>
      </c>
      <c r="K12" s="19"/>
      <c r="L12" s="19"/>
      <c r="M12" t="s">
        <v>22</v>
      </c>
      <c r="N12" s="2" t="s">
        <v>304</v>
      </c>
      <c r="O12" s="2" t="s">
        <v>305</v>
      </c>
      <c r="P12" s="2" t="s">
        <v>292</v>
      </c>
    </row>
    <row r="13" spans="1:16" x14ac:dyDescent="0.25">
      <c r="A13" t="s">
        <v>14</v>
      </c>
      <c r="B13" t="s">
        <v>20</v>
      </c>
      <c r="C13" t="s">
        <v>23</v>
      </c>
      <c r="D13" s="56" t="s">
        <v>306</v>
      </c>
      <c r="E13" s="13"/>
      <c r="F13" s="14">
        <f>J13</f>
        <v>13.2</v>
      </c>
      <c r="G13" t="s">
        <v>18</v>
      </c>
      <c r="J13" s="15">
        <f>2.536490803+2.58722062+2.638965032+2.691744332+2.745579213</f>
        <v>13.2</v>
      </c>
      <c r="K13" s="19"/>
      <c r="L13" s="19"/>
      <c r="M13" t="s">
        <v>22</v>
      </c>
      <c r="N13" s="54" t="s">
        <v>307</v>
      </c>
      <c r="O13" s="2" t="s">
        <v>308</v>
      </c>
      <c r="P13" s="2" t="s">
        <v>292</v>
      </c>
    </row>
    <row r="14" spans="1:16" x14ac:dyDescent="0.25">
      <c r="A14" t="s">
        <v>14</v>
      </c>
      <c r="B14" t="s">
        <v>20</v>
      </c>
      <c r="C14" t="s">
        <v>23</v>
      </c>
      <c r="D14" s="13" t="s">
        <v>27</v>
      </c>
      <c r="E14" s="13"/>
      <c r="F14" s="14">
        <f>J14</f>
        <v>7.1499999999999995</v>
      </c>
      <c r="J14" s="15">
        <f>1.373932519+1.401411169+1.429439392+1.45802818+1.48718874</f>
        <v>7.1499999999999995</v>
      </c>
      <c r="K14" s="19"/>
      <c r="L14" s="19"/>
      <c r="M14" t="s">
        <v>22</v>
      </c>
      <c r="N14" s="2" t="s">
        <v>309</v>
      </c>
      <c r="O14" s="2" t="s">
        <v>310</v>
      </c>
      <c r="P14" s="2" t="s">
        <v>292</v>
      </c>
    </row>
    <row r="15" spans="1:16" x14ac:dyDescent="0.25">
      <c r="A15" t="s">
        <v>14</v>
      </c>
      <c r="B15" t="s">
        <v>20</v>
      </c>
      <c r="C15" t="s">
        <v>23</v>
      </c>
      <c r="D15" s="56" t="s">
        <v>311</v>
      </c>
      <c r="E15" s="13"/>
      <c r="F15" s="14">
        <f>0.438121139+0.446883562+0.455821233+0.464937657+0.474236409</f>
        <v>2.2799999999999998</v>
      </c>
      <c r="J15" s="15">
        <f>0.438121139+0.446883562+0.455821233+0.464937657+0.474236409</f>
        <v>2.2799999999999998</v>
      </c>
      <c r="K15" s="19"/>
      <c r="L15" s="15"/>
      <c r="M15" t="s">
        <v>22</v>
      </c>
      <c r="N15" s="2" t="s">
        <v>312</v>
      </c>
      <c r="O15" s="2" t="s">
        <v>313</v>
      </c>
      <c r="P15" s="2" t="s">
        <v>292</v>
      </c>
    </row>
    <row r="16" spans="1:16" x14ac:dyDescent="0.25">
      <c r="A16" t="s">
        <v>14</v>
      </c>
      <c r="B16" t="s">
        <v>20</v>
      </c>
      <c r="C16" t="s">
        <v>23</v>
      </c>
      <c r="D16" s="13" t="s">
        <v>28</v>
      </c>
      <c r="E16" s="13"/>
      <c r="F16" s="20">
        <f>(((52488065375 + 53537826683 + 54608583217 + 55700754881 + 56814769844) - (
(2536490803 + 2587220620 + 2638965032 + 2691744332 + 2745579213) +
(1373932519 + 1401411169 + 1429439392 + 1458028180 +1487188740 ) +
(438121139 + 446883562 + 455821233 + 464937657 + 474236409 )
))*0.0256266964565637)/1000000000</f>
        <v>6.4199999962983378</v>
      </c>
      <c r="G16" t="s">
        <v>18</v>
      </c>
      <c r="H16" t="s">
        <v>18</v>
      </c>
      <c r="J16" s="18">
        <f>(((52488065375 + 53537826683 + 54608583217 + 55700754881 + 56814769844) - (
(2536490803 + 2587220620 + 2638965032 + 2691744332 + 2745579213) +
(1373932519 + 1401411169 + 1429439392 + 1458028180 +1487188740 ) +
(438121139 + 446883562 + 455821233 + 464937657 + 474236409 )
))*0.0256266964565637)/1000000000</f>
        <v>6.4199999962983378</v>
      </c>
      <c r="K16" s="19"/>
      <c r="L16" s="18"/>
      <c r="M16" t="s">
        <v>22</v>
      </c>
      <c r="N16" s="2" t="s">
        <v>314</v>
      </c>
      <c r="O16" s="2" t="s">
        <v>292</v>
      </c>
    </row>
    <row r="17" spans="1:16" x14ac:dyDescent="0.25">
      <c r="A17" t="s">
        <v>14</v>
      </c>
      <c r="B17" t="s">
        <v>20</v>
      </c>
      <c r="C17" t="s">
        <v>23</v>
      </c>
      <c r="D17" s="56" t="s">
        <v>315</v>
      </c>
      <c r="E17" s="13"/>
      <c r="F17" s="14">
        <f>(((52488065375 + 53537826683 + 54608583217 + 55700754881 + 56814769844) - (
(2536490803 + 2587220620 + 2638965032 + 2691744332 + 2745579213) +
(1373932519 + 1401411169 + 1429439392 + 1458028180 +1487188740 ) +
(438121139 + 446883562 + 455821233 + 464937657 + 474236409 )
))*0.0291393900690991)/1000000000</f>
        <v>7.3000000001107059</v>
      </c>
      <c r="G17" t="s">
        <v>18</v>
      </c>
      <c r="H17" t="s">
        <v>18</v>
      </c>
      <c r="J17" s="15">
        <f>(((52488065375 + 53537826683 + 54608583217 + 55700754881 + 56814769844) - (
(2536490803 + 2587220620 + 2638965032 + 2691744332 + 2745579213) +
(1373932519 + 1401411169 + 1429439392 + 1458028180 +1487188740 ) +
(438121139 + 446883562 + 455821233 + 464937657 + 474236409 )
))*0.0291393900690991)/1000000000</f>
        <v>7.3000000001107059</v>
      </c>
      <c r="K17" s="19"/>
      <c r="L17" s="15"/>
      <c r="M17" t="s">
        <v>22</v>
      </c>
      <c r="N17" s="2" t="s">
        <v>316</v>
      </c>
      <c r="O17" s="2" t="s">
        <v>292</v>
      </c>
    </row>
    <row r="18" spans="1:16" x14ac:dyDescent="0.25">
      <c r="A18" t="s">
        <v>14</v>
      </c>
      <c r="B18" t="s">
        <v>20</v>
      </c>
      <c r="C18" t="s">
        <v>23</v>
      </c>
      <c r="D18" s="13" t="s">
        <v>318</v>
      </c>
      <c r="E18" s="56" t="s">
        <v>319</v>
      </c>
      <c r="F18" s="14">
        <f>J18</f>
        <v>0.14000000000000001</v>
      </c>
      <c r="G18" t="s">
        <v>18</v>
      </c>
      <c r="H18" t="s">
        <v>18</v>
      </c>
      <c r="I18" t="s">
        <v>18</v>
      </c>
      <c r="J18" s="19">
        <f>0.025+0.025+0.03+0.03+0.03</f>
        <v>0.14000000000000001</v>
      </c>
      <c r="K18" s="19"/>
      <c r="L18" s="15"/>
      <c r="M18" t="s">
        <v>22</v>
      </c>
      <c r="N18" s="2" t="s">
        <v>320</v>
      </c>
      <c r="O18" s="2" t="s">
        <v>292</v>
      </c>
    </row>
    <row r="19" spans="1:16" x14ac:dyDescent="0.25">
      <c r="A19" t="s">
        <v>14</v>
      </c>
      <c r="B19" t="s">
        <v>20</v>
      </c>
      <c r="C19" t="s">
        <v>23</v>
      </c>
      <c r="D19" s="13" t="s">
        <v>318</v>
      </c>
      <c r="E19" s="56" t="s">
        <v>321</v>
      </c>
      <c r="F19" s="14">
        <f>J19</f>
        <v>0.97999999999999987</v>
      </c>
      <c r="G19" t="s">
        <v>18</v>
      </c>
      <c r="H19" t="s">
        <v>18</v>
      </c>
      <c r="I19" t="s">
        <v>18</v>
      </c>
      <c r="J19" s="19">
        <f>0.175+0.175+0.21+0.21+0.21</f>
        <v>0.97999999999999987</v>
      </c>
      <c r="K19" s="19"/>
      <c r="L19" s="15"/>
      <c r="M19" t="s">
        <v>22</v>
      </c>
      <c r="N19" s="2" t="s">
        <v>322</v>
      </c>
      <c r="O19" s="2" t="s">
        <v>292</v>
      </c>
    </row>
    <row r="20" spans="1:16" x14ac:dyDescent="0.25">
      <c r="A20" t="s">
        <v>14</v>
      </c>
      <c r="B20" t="s">
        <v>20</v>
      </c>
      <c r="C20" t="s">
        <v>23</v>
      </c>
      <c r="D20" s="13" t="s">
        <v>318</v>
      </c>
      <c r="E20" s="56" t="s">
        <v>323</v>
      </c>
      <c r="F20" s="20">
        <f>J20</f>
        <v>0.14000000000000001</v>
      </c>
      <c r="G20" t="s">
        <v>18</v>
      </c>
      <c r="H20" t="s">
        <v>18</v>
      </c>
      <c r="I20" t="s">
        <v>18</v>
      </c>
      <c r="J20" s="19">
        <f>0.025+0.025+0.03+0.03+0.03</f>
        <v>0.14000000000000001</v>
      </c>
      <c r="K20" s="19"/>
      <c r="L20" s="18"/>
      <c r="M20" t="s">
        <v>22</v>
      </c>
      <c r="N20" s="2" t="s">
        <v>324</v>
      </c>
      <c r="O20" s="2" t="s">
        <v>292</v>
      </c>
    </row>
    <row r="21" spans="1:16" x14ac:dyDescent="0.25">
      <c r="A21" t="s">
        <v>14</v>
      </c>
      <c r="B21" t="s">
        <v>20</v>
      </c>
      <c r="C21" t="s">
        <v>23</v>
      </c>
      <c r="D21" s="13" t="s">
        <v>318</v>
      </c>
      <c r="E21" s="56" t="s">
        <v>325</v>
      </c>
      <c r="F21" s="20">
        <f>J21</f>
        <v>0.14000000000000001</v>
      </c>
      <c r="G21" t="s">
        <v>18</v>
      </c>
      <c r="H21" t="s">
        <v>18</v>
      </c>
      <c r="I21" t="s">
        <v>18</v>
      </c>
      <c r="J21" s="19">
        <f>0.025+0.025+0.03+0.03+0.03</f>
        <v>0.14000000000000001</v>
      </c>
      <c r="K21" s="19"/>
      <c r="L21" s="18"/>
      <c r="M21" t="s">
        <v>22</v>
      </c>
      <c r="N21" s="2" t="s">
        <v>326</v>
      </c>
      <c r="O21" s="2" t="s">
        <v>292</v>
      </c>
    </row>
    <row r="22" spans="1:16" x14ac:dyDescent="0.25">
      <c r="A22" t="s">
        <v>14</v>
      </c>
      <c r="B22" t="s">
        <v>20</v>
      </c>
      <c r="C22" s="56" t="s">
        <v>29</v>
      </c>
      <c r="F22" s="14">
        <f>0.25*5</f>
        <v>1.25</v>
      </c>
      <c r="J22" s="15">
        <f>0.25*5</f>
        <v>1.25</v>
      </c>
      <c r="K22" s="15"/>
      <c r="L22" s="19"/>
      <c r="M22" t="s">
        <v>22</v>
      </c>
      <c r="N22" s="2" t="s">
        <v>327</v>
      </c>
      <c r="O22" s="2" t="s">
        <v>328</v>
      </c>
    </row>
    <row r="23" spans="1:16" ht="14.1" customHeight="1" x14ac:dyDescent="0.25">
      <c r="A23" t="s">
        <v>14</v>
      </c>
      <c r="B23" t="s">
        <v>20</v>
      </c>
      <c r="C23" s="13" t="s">
        <v>30</v>
      </c>
      <c r="D23" s="13" t="s">
        <v>31</v>
      </c>
      <c r="E23" s="13" t="s">
        <v>31</v>
      </c>
      <c r="F23" s="18">
        <f>J23</f>
        <v>2.9668000000000001</v>
      </c>
      <c r="J23" s="18">
        <f>(0.57846+0.58996+0.60246+0.61296+0.62796)-J24</f>
        <v>2.9668000000000001</v>
      </c>
      <c r="K23" s="19"/>
      <c r="L23" s="19"/>
      <c r="M23" t="s">
        <v>22</v>
      </c>
      <c r="N23" s="2" t="s">
        <v>329</v>
      </c>
      <c r="O23" s="2" t="s">
        <v>330</v>
      </c>
      <c r="P23" s="2" t="s">
        <v>292</v>
      </c>
    </row>
    <row r="24" spans="1:16" ht="14.1" customHeight="1" x14ac:dyDescent="0.25">
      <c r="A24" t="s">
        <v>14</v>
      </c>
      <c r="B24" t="s">
        <v>20</v>
      </c>
      <c r="C24" s="13" t="s">
        <v>30</v>
      </c>
      <c r="D24" s="13" t="s">
        <v>31</v>
      </c>
      <c r="E24" s="56" t="s">
        <v>331</v>
      </c>
      <c r="F24" s="18">
        <f>J24</f>
        <v>4.4999999999999998E-2</v>
      </c>
      <c r="J24" s="18">
        <v>4.4999999999999998E-2</v>
      </c>
      <c r="K24" s="19"/>
      <c r="L24" s="19"/>
      <c r="M24" t="s">
        <v>22</v>
      </c>
      <c r="N24" s="2" t="s">
        <v>332</v>
      </c>
      <c r="O24" s="2" t="s">
        <v>333</v>
      </c>
    </row>
    <row r="25" spans="1:16" x14ac:dyDescent="0.25">
      <c r="A25" t="s">
        <v>14</v>
      </c>
      <c r="B25" t="s">
        <v>20</v>
      </c>
      <c r="C25" s="13" t="s">
        <v>30</v>
      </c>
      <c r="D25" s="13" t="s">
        <v>32</v>
      </c>
      <c r="E25" s="13" t="s">
        <v>33</v>
      </c>
      <c r="F25" s="20">
        <f>J25</f>
        <v>1.7311872500000001</v>
      </c>
      <c r="J25" s="18">
        <v>1.7311872500000001</v>
      </c>
      <c r="K25" s="19"/>
      <c r="M25" t="s">
        <v>34</v>
      </c>
      <c r="N25" s="2" t="s">
        <v>334</v>
      </c>
      <c r="O25" s="2" t="s">
        <v>335</v>
      </c>
      <c r="P25" s="2" t="s">
        <v>292</v>
      </c>
    </row>
    <row r="26" spans="1:16" x14ac:dyDescent="0.25">
      <c r="A26" t="s">
        <v>14</v>
      </c>
      <c r="B26" t="s">
        <v>20</v>
      </c>
      <c r="C26" s="13" t="s">
        <v>30</v>
      </c>
      <c r="D26" s="13" t="s">
        <v>32</v>
      </c>
      <c r="E26" s="13" t="s">
        <v>336</v>
      </c>
      <c r="F26" s="20">
        <f t="shared" ref="F26:F28" si="0">J26</f>
        <v>0.18</v>
      </c>
      <c r="J26" s="18">
        <v>0.18</v>
      </c>
      <c r="K26" s="19"/>
      <c r="M26" t="s">
        <v>35</v>
      </c>
      <c r="N26" s="2" t="s">
        <v>337</v>
      </c>
      <c r="O26" s="2" t="s">
        <v>335</v>
      </c>
      <c r="P26" s="2" t="s">
        <v>292</v>
      </c>
    </row>
    <row r="27" spans="1:16" x14ac:dyDescent="0.25">
      <c r="A27" t="s">
        <v>14</v>
      </c>
      <c r="B27" t="s">
        <v>20</v>
      </c>
      <c r="C27" s="13" t="s">
        <v>30</v>
      </c>
      <c r="D27" s="13" t="s">
        <v>32</v>
      </c>
      <c r="E27" s="13" t="s">
        <v>36</v>
      </c>
      <c r="F27" s="20">
        <f t="shared" si="0"/>
        <v>0.13</v>
      </c>
      <c r="J27" s="18">
        <v>0.13</v>
      </c>
      <c r="K27" s="19"/>
      <c r="M27" t="s">
        <v>37</v>
      </c>
      <c r="N27" t="s">
        <v>338</v>
      </c>
      <c r="O27" s="2" t="s">
        <v>335</v>
      </c>
      <c r="P27" s="2" t="s">
        <v>292</v>
      </c>
    </row>
    <row r="28" spans="1:16" x14ac:dyDescent="0.25">
      <c r="A28" t="s">
        <v>14</v>
      </c>
      <c r="B28" t="s">
        <v>20</v>
      </c>
      <c r="C28" s="13" t="s">
        <v>30</v>
      </c>
      <c r="D28" s="13" t="s">
        <v>32</v>
      </c>
      <c r="E28" s="56" t="s">
        <v>339</v>
      </c>
      <c r="F28" s="20">
        <f t="shared" si="0"/>
        <v>0.15363774999999999</v>
      </c>
      <c r="J28" s="18">
        <v>0.15363774999999999</v>
      </c>
      <c r="K28" s="19"/>
      <c r="N28" s="2" t="s">
        <v>340</v>
      </c>
      <c r="O28" s="2" t="s">
        <v>335</v>
      </c>
      <c r="P28" s="2" t="s">
        <v>292</v>
      </c>
    </row>
    <row r="29" spans="1:16" x14ac:dyDescent="0.25">
      <c r="A29" t="s">
        <v>14</v>
      </c>
      <c r="B29" t="s">
        <v>20</v>
      </c>
      <c r="C29" s="13" t="s">
        <v>30</v>
      </c>
      <c r="D29" s="13" t="s">
        <v>39</v>
      </c>
      <c r="E29" s="13"/>
      <c r="F29" s="14">
        <f>(0.285975+0.291975+0.296975+0.303975+0.308975)</f>
        <v>1.4878750000000001</v>
      </c>
      <c r="J29" s="15">
        <f>(0.285975+0.291975+0.296975+0.303975+0.308975)</f>
        <v>1.4878750000000001</v>
      </c>
      <c r="K29" s="19"/>
      <c r="M29" t="s">
        <v>22</v>
      </c>
      <c r="N29" s="2" t="s">
        <v>341</v>
      </c>
      <c r="O29" s="2" t="s">
        <v>342</v>
      </c>
    </row>
    <row r="30" spans="1:16" x14ac:dyDescent="0.25">
      <c r="A30" t="s">
        <v>14</v>
      </c>
      <c r="B30" t="s">
        <v>20</v>
      </c>
      <c r="C30" s="13" t="s">
        <v>40</v>
      </c>
      <c r="D30" s="13" t="s">
        <v>41</v>
      </c>
      <c r="F30" s="14">
        <f>J30</f>
        <v>0.90099499999999999</v>
      </c>
      <c r="J30" s="15">
        <f>0.900995</f>
        <v>0.90099499999999999</v>
      </c>
      <c r="K30" s="19"/>
      <c r="M30" t="s">
        <v>22</v>
      </c>
      <c r="N30" s="2" t="s">
        <v>343</v>
      </c>
      <c r="O30" s="2" t="s">
        <v>344</v>
      </c>
    </row>
    <row r="31" spans="1:16" x14ac:dyDescent="0.25">
      <c r="A31" t="s">
        <v>14</v>
      </c>
      <c r="B31" t="s">
        <v>20</v>
      </c>
      <c r="C31" s="13" t="s">
        <v>40</v>
      </c>
      <c r="D31" s="13" t="s">
        <v>42</v>
      </c>
      <c r="F31" s="14">
        <f>J31</f>
        <v>0.23650499999999999</v>
      </c>
      <c r="J31" s="15">
        <v>0.23650499999999999</v>
      </c>
      <c r="K31" s="19"/>
      <c r="M31" t="s">
        <v>22</v>
      </c>
      <c r="N31" s="54" t="s">
        <v>345</v>
      </c>
      <c r="O31" s="2" t="s">
        <v>346</v>
      </c>
    </row>
    <row r="32" spans="1:16" x14ac:dyDescent="0.25">
      <c r="A32" t="s">
        <v>14</v>
      </c>
      <c r="B32" t="s">
        <v>20</v>
      </c>
      <c r="C32" s="13" t="s">
        <v>43</v>
      </c>
      <c r="D32" s="56" t="s">
        <v>43</v>
      </c>
      <c r="F32" s="21">
        <f>J32+L32</f>
        <v>7.25</v>
      </c>
      <c r="I32" t="s">
        <v>18</v>
      </c>
      <c r="J32" s="22">
        <f>1+1+1+0.9+0.9-J33</f>
        <v>4.05</v>
      </c>
      <c r="K32" s="19">
        <v>6</v>
      </c>
      <c r="L32">
        <v>3.2</v>
      </c>
      <c r="M32" t="s">
        <v>22</v>
      </c>
      <c r="N32" s="2" t="s">
        <v>347</v>
      </c>
      <c r="O32" s="2" t="s">
        <v>348</v>
      </c>
      <c r="P32" s="2" t="s">
        <v>292</v>
      </c>
    </row>
    <row r="33" spans="1:16" x14ac:dyDescent="0.25">
      <c r="A33" t="s">
        <v>14</v>
      </c>
      <c r="B33" t="s">
        <v>20</v>
      </c>
      <c r="C33" s="13" t="s">
        <v>43</v>
      </c>
      <c r="D33" s="56" t="s">
        <v>349</v>
      </c>
      <c r="F33" s="21">
        <f>J33</f>
        <v>0.75</v>
      </c>
      <c r="I33" t="s">
        <v>18</v>
      </c>
      <c r="J33" s="22">
        <f>0.15*5</f>
        <v>0.75</v>
      </c>
      <c r="K33" s="19"/>
      <c r="M33" t="s">
        <v>22</v>
      </c>
      <c r="N33" s="2" t="s">
        <v>350</v>
      </c>
      <c r="O33" s="2" t="s">
        <v>348</v>
      </c>
    </row>
    <row r="34" spans="1:16" x14ac:dyDescent="0.25">
      <c r="A34" t="s">
        <v>14</v>
      </c>
      <c r="B34" t="s">
        <v>20</v>
      </c>
      <c r="C34" t="s">
        <v>44</v>
      </c>
      <c r="D34" s="13" t="s">
        <v>45</v>
      </c>
      <c r="E34" s="13" t="s">
        <v>45</v>
      </c>
      <c r="F34" s="20">
        <f>J34+L34</f>
        <v>12.200000000000001</v>
      </c>
      <c r="H34" s="13" t="s">
        <v>18</v>
      </c>
      <c r="I34" s="13" t="s">
        <v>18</v>
      </c>
      <c r="J34" s="18">
        <f>(0.6+0.64+0.65+0.675+0.7)-J35</f>
        <v>3.1650000000000005</v>
      </c>
      <c r="K34" s="19">
        <v>3.2650000000000001</v>
      </c>
      <c r="L34">
        <f>(1.847*5)-L36-L37</f>
        <v>9.0350000000000001</v>
      </c>
      <c r="M34" t="s">
        <v>22</v>
      </c>
      <c r="N34" s="57" t="s">
        <v>351</v>
      </c>
      <c r="O34" s="2" t="s">
        <v>352</v>
      </c>
    </row>
    <row r="35" spans="1:16" x14ac:dyDescent="0.25">
      <c r="A35" t="s">
        <v>14</v>
      </c>
      <c r="B35" t="s">
        <v>20</v>
      </c>
      <c r="C35" t="s">
        <v>44</v>
      </c>
      <c r="D35" s="13" t="s">
        <v>45</v>
      </c>
      <c r="E35" s="13" t="s">
        <v>354</v>
      </c>
      <c r="F35" s="20">
        <f>J35+L35</f>
        <v>0.1</v>
      </c>
      <c r="H35" s="13"/>
      <c r="I35" s="13"/>
      <c r="J35" s="18">
        <f>0.016+0.018+0.02+0.022+0.024</f>
        <v>0.1</v>
      </c>
      <c r="K35" s="19"/>
      <c r="M35" t="s">
        <v>22</v>
      </c>
      <c r="N35" t="s">
        <v>353</v>
      </c>
      <c r="O35" s="2" t="s">
        <v>292</v>
      </c>
    </row>
    <row r="36" spans="1:16" x14ac:dyDescent="0.25">
      <c r="A36" t="s">
        <v>14</v>
      </c>
      <c r="B36" t="s">
        <v>20</v>
      </c>
      <c r="C36" t="s">
        <v>44</v>
      </c>
      <c r="D36" s="13" t="s">
        <v>45</v>
      </c>
      <c r="E36" s="13" t="s">
        <v>355</v>
      </c>
      <c r="F36" s="20">
        <f>J36+L36</f>
        <v>0.1</v>
      </c>
      <c r="H36" s="13"/>
      <c r="I36" s="13"/>
      <c r="J36" s="18"/>
      <c r="K36" s="19"/>
      <c r="L36">
        <f>0.02*5</f>
        <v>0.1</v>
      </c>
      <c r="M36" t="s">
        <v>22</v>
      </c>
      <c r="N36" s="58" t="s">
        <v>353</v>
      </c>
      <c r="O36" s="2" t="s">
        <v>292</v>
      </c>
    </row>
    <row r="37" spans="1:16" x14ac:dyDescent="0.25">
      <c r="A37" t="s">
        <v>14</v>
      </c>
      <c r="B37" t="s">
        <v>20</v>
      </c>
      <c r="C37" t="s">
        <v>44</v>
      </c>
      <c r="D37" s="13" t="s">
        <v>45</v>
      </c>
      <c r="E37" s="56" t="s">
        <v>722</v>
      </c>
      <c r="F37" s="20">
        <f>J37+L37</f>
        <v>0.1</v>
      </c>
      <c r="H37" s="13" t="s">
        <v>18</v>
      </c>
      <c r="I37" s="13" t="s">
        <v>18</v>
      </c>
      <c r="J37" s="18"/>
      <c r="K37" s="19"/>
      <c r="L37">
        <f>0.02*5</f>
        <v>0.1</v>
      </c>
      <c r="M37" t="s">
        <v>22</v>
      </c>
      <c r="N37" t="s">
        <v>356</v>
      </c>
      <c r="O37" s="2" t="s">
        <v>723</v>
      </c>
    </row>
    <row r="38" spans="1:16" x14ac:dyDescent="0.25">
      <c r="A38" t="s">
        <v>14</v>
      </c>
      <c r="B38" t="s">
        <v>20</v>
      </c>
      <c r="C38" t="s">
        <v>44</v>
      </c>
      <c r="D38" s="13" t="s">
        <v>46</v>
      </c>
      <c r="E38" s="56" t="s">
        <v>46</v>
      </c>
      <c r="F38" s="17">
        <f>L38</f>
        <v>26.675000000000001</v>
      </c>
      <c r="H38" t="s">
        <v>18</v>
      </c>
      <c r="L38">
        <f>27.5-L39</f>
        <v>26.675000000000001</v>
      </c>
      <c r="M38" t="s">
        <v>22</v>
      </c>
      <c r="N38" t="s">
        <v>357</v>
      </c>
      <c r="O38" s="2" t="s">
        <v>292</v>
      </c>
    </row>
    <row r="39" spans="1:16" x14ac:dyDescent="0.25">
      <c r="A39" t="s">
        <v>14</v>
      </c>
      <c r="B39" t="s">
        <v>20</v>
      </c>
      <c r="C39" t="s">
        <v>44</v>
      </c>
      <c r="D39" s="13" t="s">
        <v>46</v>
      </c>
      <c r="E39" s="56" t="s">
        <v>724</v>
      </c>
      <c r="F39" s="17">
        <f>L39</f>
        <v>0.82499999999999996</v>
      </c>
      <c r="H39" t="s">
        <v>18</v>
      </c>
      <c r="L39">
        <v>0.82499999999999996</v>
      </c>
      <c r="M39" t="s">
        <v>22</v>
      </c>
      <c r="N39" t="s">
        <v>358</v>
      </c>
      <c r="O39" s="2" t="s">
        <v>292</v>
      </c>
    </row>
    <row r="40" spans="1:16" x14ac:dyDescent="0.25">
      <c r="A40" t="s">
        <v>14</v>
      </c>
      <c r="B40" t="s">
        <v>20</v>
      </c>
      <c r="C40" s="13" t="s">
        <v>47</v>
      </c>
      <c r="F40" s="14">
        <f>0.05*5</f>
        <v>0.25</v>
      </c>
      <c r="H40" t="s">
        <v>18</v>
      </c>
      <c r="I40" t="s">
        <v>18</v>
      </c>
      <c r="J40" s="15">
        <f>0.05*5</f>
        <v>0.25</v>
      </c>
      <c r="K40" s="15"/>
      <c r="M40" t="s">
        <v>22</v>
      </c>
      <c r="N40" t="s">
        <v>359</v>
      </c>
      <c r="O40" s="2" t="s">
        <v>292</v>
      </c>
    </row>
    <row r="41" spans="1:16" x14ac:dyDescent="0.25">
      <c r="A41" t="s">
        <v>14</v>
      </c>
      <c r="B41" t="s">
        <v>20</v>
      </c>
      <c r="C41" s="13" t="s">
        <v>48</v>
      </c>
      <c r="D41" t="s">
        <v>48</v>
      </c>
      <c r="F41" s="20">
        <f>L41</f>
        <v>4.2300000000000004</v>
      </c>
      <c r="G41" t="s">
        <v>18</v>
      </c>
      <c r="H41" t="s">
        <v>18</v>
      </c>
      <c r="L41" s="19">
        <f>5-L42-L43</f>
        <v>4.2300000000000004</v>
      </c>
      <c r="M41" t="s">
        <v>49</v>
      </c>
      <c r="N41" t="s">
        <v>360</v>
      </c>
      <c r="O41" s="2" t="s">
        <v>292</v>
      </c>
    </row>
    <row r="42" spans="1:16" x14ac:dyDescent="0.25">
      <c r="A42" t="s">
        <v>14</v>
      </c>
      <c r="B42" t="s">
        <v>20</v>
      </c>
      <c r="C42" s="13" t="s">
        <v>48</v>
      </c>
      <c r="D42" s="56" t="s">
        <v>50</v>
      </c>
      <c r="F42" s="20">
        <f>L42</f>
        <v>0.3</v>
      </c>
      <c r="G42" t="s">
        <v>18</v>
      </c>
      <c r="L42" s="19">
        <v>0.3</v>
      </c>
      <c r="M42" t="s">
        <v>49</v>
      </c>
      <c r="N42" t="s">
        <v>361</v>
      </c>
      <c r="O42" s="2" t="s">
        <v>725</v>
      </c>
    </row>
    <row r="43" spans="1:16" x14ac:dyDescent="0.25">
      <c r="A43" t="s">
        <v>14</v>
      </c>
      <c r="B43" t="s">
        <v>20</v>
      </c>
      <c r="C43" s="13" t="s">
        <v>48</v>
      </c>
      <c r="D43" s="56" t="s">
        <v>51</v>
      </c>
      <c r="F43" s="20">
        <f>L43</f>
        <v>0.47</v>
      </c>
      <c r="G43" t="s">
        <v>18</v>
      </c>
      <c r="H43" t="s">
        <v>18</v>
      </c>
      <c r="L43" s="19">
        <v>0.47</v>
      </c>
      <c r="M43" t="s">
        <v>49</v>
      </c>
      <c r="N43" t="s">
        <v>362</v>
      </c>
      <c r="O43" s="2" t="s">
        <v>292</v>
      </c>
    </row>
    <row r="44" spans="1:16" s="3" customFormat="1" x14ac:dyDescent="0.25">
      <c r="A44" t="s">
        <v>14</v>
      </c>
      <c r="B44" t="s">
        <v>20</v>
      </c>
      <c r="C44" s="16" t="s">
        <v>52</v>
      </c>
      <c r="D44" s="56" t="s">
        <v>52</v>
      </c>
      <c r="E44" s="23"/>
      <c r="F44" s="21">
        <f t="shared" ref="F44:F49" si="1">J44</f>
        <v>1.25</v>
      </c>
      <c r="G44" s="23" t="s">
        <v>18</v>
      </c>
      <c r="H44" s="23" t="s">
        <v>18</v>
      </c>
      <c r="I44" s="23" t="s">
        <v>18</v>
      </c>
      <c r="J44" s="18">
        <f>0.3+0.4+0.5+0.6+0.7-J45</f>
        <v>1.25</v>
      </c>
      <c r="K44" s="24"/>
      <c r="L44" s="23"/>
      <c r="M44" t="s">
        <v>22</v>
      </c>
      <c r="N44" t="s">
        <v>363</v>
      </c>
      <c r="O44" s="3" t="s">
        <v>292</v>
      </c>
    </row>
    <row r="45" spans="1:16" s="3" customFormat="1" x14ac:dyDescent="0.25">
      <c r="A45" t="s">
        <v>14</v>
      </c>
      <c r="B45" t="s">
        <v>20</v>
      </c>
      <c r="C45" s="16" t="s">
        <v>52</v>
      </c>
      <c r="D45" s="23" t="s">
        <v>53</v>
      </c>
      <c r="E45" s="23"/>
      <c r="F45" s="21">
        <f t="shared" si="1"/>
        <v>1.25</v>
      </c>
      <c r="G45" s="23" t="s">
        <v>18</v>
      </c>
      <c r="H45" s="23" t="s">
        <v>18</v>
      </c>
      <c r="I45" s="23" t="s">
        <v>18</v>
      </c>
      <c r="J45" s="18">
        <f>0.15+0.2+0.25+0.3+0.35</f>
        <v>1.25</v>
      </c>
      <c r="K45" s="24"/>
      <c r="L45" s="23"/>
      <c r="M45" t="s">
        <v>22</v>
      </c>
      <c r="N45" t="s">
        <v>364</v>
      </c>
      <c r="O45" s="3" t="s">
        <v>726</v>
      </c>
    </row>
    <row r="46" spans="1:16" s="3" customFormat="1" x14ac:dyDescent="0.25">
      <c r="A46" t="s">
        <v>14</v>
      </c>
      <c r="B46" t="s">
        <v>20</v>
      </c>
      <c r="C46" s="16" t="s">
        <v>54</v>
      </c>
      <c r="D46" s="23" t="s">
        <v>54</v>
      </c>
      <c r="E46" s="23"/>
      <c r="F46" s="21">
        <f t="shared" si="1"/>
        <v>0.99999999999999978</v>
      </c>
      <c r="G46" s="23"/>
      <c r="H46" s="23" t="s">
        <v>18</v>
      </c>
      <c r="I46" s="23" t="s">
        <v>18</v>
      </c>
      <c r="J46" s="18">
        <f>0.3+0.35+0.4+0.45+0.5-J47-J48-J49</f>
        <v>0.99999999999999978</v>
      </c>
      <c r="K46" s="24"/>
      <c r="L46" s="23"/>
      <c r="M46" t="s">
        <v>22</v>
      </c>
      <c r="N46" t="s">
        <v>365</v>
      </c>
      <c r="O46" s="3" t="s">
        <v>292</v>
      </c>
    </row>
    <row r="47" spans="1:16" s="3" customFormat="1" x14ac:dyDescent="0.25">
      <c r="A47" t="s">
        <v>14</v>
      </c>
      <c r="B47" t="s">
        <v>20</v>
      </c>
      <c r="C47" s="16" t="s">
        <v>54</v>
      </c>
      <c r="D47" s="23" t="s">
        <v>55</v>
      </c>
      <c r="E47" s="23"/>
      <c r="F47" s="21">
        <f t="shared" si="1"/>
        <v>0.2</v>
      </c>
      <c r="G47" s="23"/>
      <c r="H47" s="23" t="s">
        <v>18</v>
      </c>
      <c r="I47" s="23" t="s">
        <v>18</v>
      </c>
      <c r="J47" s="18">
        <f>0.03+0.035+0.04+0.045+0.05</f>
        <v>0.2</v>
      </c>
      <c r="K47" s="24"/>
      <c r="L47" s="23"/>
      <c r="M47" t="s">
        <v>22</v>
      </c>
      <c r="N47" t="s">
        <v>727</v>
      </c>
      <c r="O47" s="3" t="s">
        <v>292</v>
      </c>
    </row>
    <row r="48" spans="1:16" s="3" customFormat="1" x14ac:dyDescent="0.25">
      <c r="A48" t="s">
        <v>14</v>
      </c>
      <c r="B48" t="s">
        <v>20</v>
      </c>
      <c r="C48" s="16" t="s">
        <v>54</v>
      </c>
      <c r="D48" s="56" t="s">
        <v>76</v>
      </c>
      <c r="E48" s="23"/>
      <c r="F48" s="21">
        <f t="shared" si="1"/>
        <v>0.49999999999999994</v>
      </c>
      <c r="G48" s="23"/>
      <c r="H48" s="23" t="s">
        <v>18</v>
      </c>
      <c r="I48" s="23" t="s">
        <v>18</v>
      </c>
      <c r="J48" s="18">
        <f>0.075+0.0875+0.1+0.1125+0.125</f>
        <v>0.49999999999999994</v>
      </c>
      <c r="K48" s="24"/>
      <c r="L48" s="23"/>
      <c r="M48" t="s">
        <v>22</v>
      </c>
      <c r="N48" t="s">
        <v>366</v>
      </c>
      <c r="O48" s="3" t="s">
        <v>292</v>
      </c>
      <c r="P48" s="3" t="s">
        <v>728</v>
      </c>
    </row>
    <row r="49" spans="1:16" s="3" customFormat="1" x14ac:dyDescent="0.25">
      <c r="A49" t="s">
        <v>14</v>
      </c>
      <c r="B49" t="s">
        <v>20</v>
      </c>
      <c r="C49" s="16" t="s">
        <v>54</v>
      </c>
      <c r="D49" s="56" t="s">
        <v>729</v>
      </c>
      <c r="E49" s="23"/>
      <c r="F49" s="21">
        <f t="shared" si="1"/>
        <v>0.3</v>
      </c>
      <c r="G49" s="23"/>
      <c r="H49" s="23" t="s">
        <v>18</v>
      </c>
      <c r="I49" s="23" t="s">
        <v>18</v>
      </c>
      <c r="J49" s="18">
        <f>0.045+0.0525+0.06+0.0675+0.075</f>
        <v>0.3</v>
      </c>
      <c r="K49" s="24"/>
      <c r="L49" s="23"/>
      <c r="M49" t="s">
        <v>22</v>
      </c>
      <c r="N49" t="s">
        <v>367</v>
      </c>
      <c r="O49" s="3" t="s">
        <v>292</v>
      </c>
    </row>
    <row r="50" spans="1:16" x14ac:dyDescent="0.25">
      <c r="A50" t="s">
        <v>14</v>
      </c>
      <c r="B50" t="s">
        <v>20</v>
      </c>
      <c r="C50" s="56" t="s">
        <v>56</v>
      </c>
      <c r="F50" s="14">
        <f>J50+L50</f>
        <v>0.4</v>
      </c>
      <c r="G50" t="s">
        <v>18</v>
      </c>
      <c r="H50" t="s">
        <v>18</v>
      </c>
      <c r="I50" t="s">
        <v>18</v>
      </c>
      <c r="J50" s="15">
        <f>0.05*5</f>
        <v>0.25</v>
      </c>
      <c r="L50">
        <v>0.15</v>
      </c>
      <c r="M50" t="s">
        <v>22</v>
      </c>
      <c r="N50" t="s">
        <v>368</v>
      </c>
      <c r="O50" s="2" t="s">
        <v>292</v>
      </c>
    </row>
    <row r="51" spans="1:16" x14ac:dyDescent="0.25">
      <c r="A51" t="s">
        <v>14</v>
      </c>
      <c r="B51" t="s">
        <v>20</v>
      </c>
      <c r="C51" s="56" t="s">
        <v>57</v>
      </c>
      <c r="F51" s="14">
        <f>J51+K51</f>
        <v>1.7749999999999999</v>
      </c>
      <c r="J51" s="15">
        <f>0.055*5</f>
        <v>0.27500000000000002</v>
      </c>
      <c r="K51" s="15">
        <f>0.3*5</f>
        <v>1.5</v>
      </c>
      <c r="M51" t="s">
        <v>22</v>
      </c>
      <c r="N51" t="s">
        <v>369</v>
      </c>
      <c r="O51" s="2" t="s">
        <v>730</v>
      </c>
      <c r="P51" s="2" t="s">
        <v>292</v>
      </c>
    </row>
    <row r="52" spans="1:16" x14ac:dyDescent="0.25">
      <c r="A52" t="s">
        <v>14</v>
      </c>
      <c r="B52" t="s">
        <v>20</v>
      </c>
      <c r="C52" s="13" t="s">
        <v>58</v>
      </c>
      <c r="F52" s="14">
        <f>0.1*5</f>
        <v>0.5</v>
      </c>
      <c r="G52" t="s">
        <v>18</v>
      </c>
      <c r="H52" t="s">
        <v>18</v>
      </c>
      <c r="I52" t="s">
        <v>18</v>
      </c>
      <c r="K52" s="15">
        <f>0.1*5</f>
        <v>0.5</v>
      </c>
      <c r="M52" t="s">
        <v>22</v>
      </c>
      <c r="N52" t="s">
        <v>370</v>
      </c>
      <c r="O52" s="2" t="s">
        <v>731</v>
      </c>
    </row>
    <row r="53" spans="1:16" x14ac:dyDescent="0.25">
      <c r="A53" t="s">
        <v>14</v>
      </c>
      <c r="B53" t="s">
        <v>20</v>
      </c>
      <c r="C53" s="13" t="s">
        <v>59</v>
      </c>
      <c r="F53" s="14">
        <f>0.1*5</f>
        <v>0.5</v>
      </c>
      <c r="G53" t="s">
        <v>18</v>
      </c>
      <c r="H53" t="s">
        <v>18</v>
      </c>
      <c r="I53" t="s">
        <v>18</v>
      </c>
      <c r="K53" s="15">
        <f>0.1*5</f>
        <v>0.5</v>
      </c>
      <c r="M53" t="s">
        <v>22</v>
      </c>
      <c r="N53" t="s">
        <v>371</v>
      </c>
      <c r="O53" s="2" t="s">
        <v>732</v>
      </c>
    </row>
    <row r="54" spans="1:16" x14ac:dyDescent="0.25">
      <c r="A54" t="s">
        <v>14</v>
      </c>
      <c r="B54" t="s">
        <v>20</v>
      </c>
      <c r="C54" s="13" t="s">
        <v>60</v>
      </c>
      <c r="F54" s="14">
        <f>0.015*5</f>
        <v>7.4999999999999997E-2</v>
      </c>
      <c r="H54" t="s">
        <v>18</v>
      </c>
      <c r="I54" t="s">
        <v>18</v>
      </c>
      <c r="K54" s="15">
        <f>0.015*5</f>
        <v>7.4999999999999997E-2</v>
      </c>
      <c r="M54" t="s">
        <v>22</v>
      </c>
      <c r="N54" t="s">
        <v>372</v>
      </c>
      <c r="O54" s="2" t="s">
        <v>732</v>
      </c>
    </row>
    <row r="55" spans="1:16" x14ac:dyDescent="0.25">
      <c r="A55" t="s">
        <v>14</v>
      </c>
      <c r="B55" t="s">
        <v>20</v>
      </c>
      <c r="C55" t="s">
        <v>61</v>
      </c>
      <c r="D55" s="13" t="s">
        <v>62</v>
      </c>
      <c r="E55" s="13" t="s">
        <v>62</v>
      </c>
      <c r="F55" s="20">
        <f t="shared" ref="F55:F62" si="2">J55</f>
        <v>0.31</v>
      </c>
      <c r="J55" s="15">
        <f>0.147*5-J56-J57-J58</f>
        <v>0.31</v>
      </c>
      <c r="M55" t="s">
        <v>22</v>
      </c>
      <c r="N55" t="s">
        <v>373</v>
      </c>
      <c r="O55" s="2" t="s">
        <v>733</v>
      </c>
    </row>
    <row r="56" spans="1:16" x14ac:dyDescent="0.25">
      <c r="A56" t="s">
        <v>14</v>
      </c>
      <c r="B56" t="s">
        <v>20</v>
      </c>
      <c r="C56" t="s">
        <v>61</v>
      </c>
      <c r="D56" s="13" t="s">
        <v>62</v>
      </c>
      <c r="E56" s="13" t="s">
        <v>734</v>
      </c>
      <c r="F56" s="20">
        <f t="shared" si="2"/>
        <v>7.4999999999999997E-2</v>
      </c>
      <c r="H56" t="s">
        <v>18</v>
      </c>
      <c r="J56" s="18">
        <f>0.015*5</f>
        <v>7.4999999999999997E-2</v>
      </c>
      <c r="M56" t="s">
        <v>22</v>
      </c>
      <c r="N56" t="s">
        <v>374</v>
      </c>
      <c r="O56" s="2" t="s">
        <v>292</v>
      </c>
    </row>
    <row r="57" spans="1:16" x14ac:dyDescent="0.25">
      <c r="A57" t="s">
        <v>14</v>
      </c>
      <c r="B57" t="s">
        <v>20</v>
      </c>
      <c r="C57" t="s">
        <v>61</v>
      </c>
      <c r="D57" s="13" t="s">
        <v>62</v>
      </c>
      <c r="E57" s="56" t="s">
        <v>735</v>
      </c>
      <c r="F57" s="20">
        <f t="shared" si="2"/>
        <v>0.05</v>
      </c>
      <c r="H57" t="s">
        <v>18</v>
      </c>
      <c r="J57" s="18">
        <f>0.01*5</f>
        <v>0.05</v>
      </c>
      <c r="M57" t="s">
        <v>22</v>
      </c>
      <c r="N57" t="s">
        <v>375</v>
      </c>
      <c r="O57" s="2" t="s">
        <v>732</v>
      </c>
    </row>
    <row r="58" spans="1:16" x14ac:dyDescent="0.25">
      <c r="A58" t="s">
        <v>14</v>
      </c>
      <c r="B58" t="s">
        <v>20</v>
      </c>
      <c r="C58" t="s">
        <v>61</v>
      </c>
      <c r="D58" s="13" t="s">
        <v>62</v>
      </c>
      <c r="E58" s="56" t="s">
        <v>736</v>
      </c>
      <c r="F58" s="20">
        <f t="shared" si="2"/>
        <v>0.3</v>
      </c>
      <c r="J58" s="18">
        <f>0.06*5</f>
        <v>0.3</v>
      </c>
      <c r="M58" t="s">
        <v>22</v>
      </c>
      <c r="N58" t="s">
        <v>376</v>
      </c>
      <c r="O58" s="2" t="s">
        <v>732</v>
      </c>
    </row>
    <row r="59" spans="1:16" x14ac:dyDescent="0.25">
      <c r="A59" t="s">
        <v>14</v>
      </c>
      <c r="B59" t="s">
        <v>20</v>
      </c>
      <c r="C59" t="s">
        <v>61</v>
      </c>
      <c r="D59" s="13" t="s">
        <v>63</v>
      </c>
      <c r="E59" s="13" t="s">
        <v>63</v>
      </c>
      <c r="F59" s="20">
        <f t="shared" si="2"/>
        <v>9.0000000000000024E-2</v>
      </c>
      <c r="J59" s="15">
        <f>0.11*5-J60-J61-J62</f>
        <v>9.0000000000000024E-2</v>
      </c>
      <c r="M59" t="s">
        <v>22</v>
      </c>
      <c r="N59" t="s">
        <v>377</v>
      </c>
      <c r="O59" s="2" t="s">
        <v>737</v>
      </c>
      <c r="P59" s="2" t="s">
        <v>732</v>
      </c>
    </row>
    <row r="60" spans="1:16" x14ac:dyDescent="0.25">
      <c r="A60" t="s">
        <v>14</v>
      </c>
      <c r="B60" t="s">
        <v>20</v>
      </c>
      <c r="C60" t="s">
        <v>61</v>
      </c>
      <c r="D60" s="13" t="s">
        <v>63</v>
      </c>
      <c r="E60" s="56" t="s">
        <v>738</v>
      </c>
      <c r="F60" s="20">
        <f t="shared" si="2"/>
        <v>0.06</v>
      </c>
      <c r="J60" s="18">
        <f>0.012*5</f>
        <v>0.06</v>
      </c>
      <c r="M60" t="s">
        <v>22</v>
      </c>
      <c r="N60" t="s">
        <v>378</v>
      </c>
      <c r="O60" s="2" t="s">
        <v>739</v>
      </c>
      <c r="P60" s="2" t="s">
        <v>732</v>
      </c>
    </row>
    <row r="61" spans="1:16" x14ac:dyDescent="0.25">
      <c r="A61" t="s">
        <v>14</v>
      </c>
      <c r="B61" t="s">
        <v>20</v>
      </c>
      <c r="C61" t="s">
        <v>61</v>
      </c>
      <c r="D61" s="13" t="s">
        <v>63</v>
      </c>
      <c r="E61" s="56" t="s">
        <v>740</v>
      </c>
      <c r="F61" s="20">
        <f t="shared" si="2"/>
        <v>0.1</v>
      </c>
      <c r="H61" t="s">
        <v>18</v>
      </c>
      <c r="J61" s="18">
        <f>0.02*5</f>
        <v>0.1</v>
      </c>
      <c r="M61" t="s">
        <v>22</v>
      </c>
      <c r="N61" t="s">
        <v>379</v>
      </c>
      <c r="O61" s="2" t="s">
        <v>741</v>
      </c>
    </row>
    <row r="62" spans="1:16" x14ac:dyDescent="0.25">
      <c r="A62" t="s">
        <v>14</v>
      </c>
      <c r="B62" t="s">
        <v>20</v>
      </c>
      <c r="C62" t="s">
        <v>61</v>
      </c>
      <c r="D62" s="13" t="s">
        <v>63</v>
      </c>
      <c r="E62" s="56" t="s">
        <v>742</v>
      </c>
      <c r="F62" s="20">
        <f t="shared" si="2"/>
        <v>0.3</v>
      </c>
      <c r="I62" t="s">
        <v>18</v>
      </c>
      <c r="J62" s="18">
        <f>0.06*5</f>
        <v>0.3</v>
      </c>
      <c r="M62" t="s">
        <v>22</v>
      </c>
      <c r="N62" t="s">
        <v>376</v>
      </c>
      <c r="O62" s="2" t="s">
        <v>732</v>
      </c>
    </row>
    <row r="63" spans="1:16" x14ac:dyDescent="0.25">
      <c r="A63" t="s">
        <v>14</v>
      </c>
      <c r="B63" t="s">
        <v>20</v>
      </c>
      <c r="C63" t="s">
        <v>61</v>
      </c>
      <c r="D63" s="56" t="s">
        <v>743</v>
      </c>
      <c r="E63" s="13"/>
      <c r="F63" s="14">
        <f>0.025+0.02525+0.0255+0.02575+0.026</f>
        <v>0.1275</v>
      </c>
      <c r="J63" s="15">
        <f>0.025+0.02525+0.0255+0.02575+0.026</f>
        <v>0.1275</v>
      </c>
      <c r="M63" t="s">
        <v>22</v>
      </c>
      <c r="N63" t="s">
        <v>380</v>
      </c>
      <c r="O63" s="2" t="s">
        <v>292</v>
      </c>
    </row>
    <row r="64" spans="1:16" x14ac:dyDescent="0.25">
      <c r="A64" t="s">
        <v>14</v>
      </c>
      <c r="B64" t="s">
        <v>20</v>
      </c>
      <c r="C64" t="s">
        <v>61</v>
      </c>
      <c r="D64" s="13" t="s">
        <v>64</v>
      </c>
      <c r="E64" s="13" t="s">
        <v>64</v>
      </c>
      <c r="F64" s="20">
        <f>J64</f>
        <v>0.25000000000000006</v>
      </c>
      <c r="J64" s="15">
        <f>0.11*5-J65</f>
        <v>0.25000000000000006</v>
      </c>
      <c r="M64" t="s">
        <v>22</v>
      </c>
      <c r="N64" t="s">
        <v>381</v>
      </c>
      <c r="O64" s="2" t="s">
        <v>744</v>
      </c>
      <c r="P64" s="2" t="s">
        <v>732</v>
      </c>
    </row>
    <row r="65" spans="1:16" x14ac:dyDescent="0.25">
      <c r="A65" t="s">
        <v>14</v>
      </c>
      <c r="B65" t="s">
        <v>20</v>
      </c>
      <c r="C65" t="s">
        <v>61</v>
      </c>
      <c r="D65" s="13" t="s">
        <v>64</v>
      </c>
      <c r="E65" s="56" t="s">
        <v>742</v>
      </c>
      <c r="F65" s="20">
        <f>J65</f>
        <v>0.3</v>
      </c>
      <c r="J65" s="18">
        <f>0.06*5</f>
        <v>0.3</v>
      </c>
      <c r="M65" t="s">
        <v>22</v>
      </c>
      <c r="N65" t="s">
        <v>376</v>
      </c>
      <c r="O65" s="2" t="s">
        <v>732</v>
      </c>
    </row>
    <row r="66" spans="1:16" x14ac:dyDescent="0.25">
      <c r="A66" t="s">
        <v>14</v>
      </c>
      <c r="B66" t="s">
        <v>20</v>
      </c>
      <c r="C66" t="s">
        <v>61</v>
      </c>
      <c r="D66" s="56" t="s">
        <v>65</v>
      </c>
      <c r="E66" s="13"/>
      <c r="F66" s="20">
        <f>J66+L66</f>
        <v>0.5</v>
      </c>
      <c r="I66" t="s">
        <v>18</v>
      </c>
      <c r="J66" s="15">
        <f>0.08+0.0805+0.081+0.0815+0.082</f>
        <v>0.40500000000000003</v>
      </c>
      <c r="L66">
        <v>9.5000000000000001E-2</v>
      </c>
      <c r="M66" t="s">
        <v>22</v>
      </c>
      <c r="N66" t="s">
        <v>382</v>
      </c>
      <c r="O66" s="2" t="s">
        <v>745</v>
      </c>
      <c r="P66" s="2" t="s">
        <v>732</v>
      </c>
    </row>
    <row r="67" spans="1:16" x14ac:dyDescent="0.25">
      <c r="A67" t="s">
        <v>14</v>
      </c>
      <c r="B67" t="s">
        <v>20</v>
      </c>
      <c r="C67" t="s">
        <v>61</v>
      </c>
      <c r="D67" s="13" t="s">
        <v>66</v>
      </c>
      <c r="E67" s="13"/>
      <c r="F67" s="14">
        <f>0.026+0.02625+0.0265+0.02675+0.027</f>
        <v>0.13250000000000001</v>
      </c>
      <c r="J67" s="15">
        <f>0.026+0.02625+0.0265+0.02675+0.027</f>
        <v>0.13250000000000001</v>
      </c>
      <c r="M67" t="s">
        <v>67</v>
      </c>
      <c r="N67" t="s">
        <v>383</v>
      </c>
      <c r="O67" s="2" t="s">
        <v>746</v>
      </c>
    </row>
    <row r="68" spans="1:16" x14ac:dyDescent="0.25">
      <c r="A68" t="s">
        <v>14</v>
      </c>
      <c r="B68" t="s">
        <v>20</v>
      </c>
      <c r="C68" s="13" t="s">
        <v>68</v>
      </c>
      <c r="D68" s="13" t="s">
        <v>69</v>
      </c>
      <c r="F68" s="14">
        <f>0.06+0.065+0.07+0.075+0.08</f>
        <v>0.35000000000000003</v>
      </c>
      <c r="H68" t="s">
        <v>18</v>
      </c>
      <c r="I68" t="s">
        <v>18</v>
      </c>
      <c r="J68" s="15">
        <f>0.06+0.065+0.07+0.075+0.08</f>
        <v>0.35000000000000003</v>
      </c>
      <c r="M68" t="s">
        <v>22</v>
      </c>
      <c r="N68" t="s">
        <v>384</v>
      </c>
      <c r="O68" s="2" t="s">
        <v>292</v>
      </c>
    </row>
    <row r="69" spans="1:16" x14ac:dyDescent="0.25">
      <c r="A69" t="s">
        <v>14</v>
      </c>
      <c r="B69" t="s">
        <v>20</v>
      </c>
      <c r="C69" s="13" t="s">
        <v>68</v>
      </c>
      <c r="D69" s="13" t="s">
        <v>70</v>
      </c>
      <c r="F69" s="14">
        <f>0.01*5</f>
        <v>0.05</v>
      </c>
      <c r="H69" t="s">
        <v>18</v>
      </c>
      <c r="I69" t="s">
        <v>18</v>
      </c>
      <c r="J69" s="15">
        <f>0.01*5</f>
        <v>0.05</v>
      </c>
      <c r="M69" t="s">
        <v>22</v>
      </c>
      <c r="N69" t="s">
        <v>385</v>
      </c>
      <c r="O69" s="2" t="s">
        <v>292</v>
      </c>
    </row>
    <row r="70" spans="1:16" x14ac:dyDescent="0.25">
      <c r="A70" t="s">
        <v>14</v>
      </c>
      <c r="B70" t="s">
        <v>20</v>
      </c>
      <c r="C70" s="13" t="s">
        <v>68</v>
      </c>
      <c r="D70" s="13" t="s">
        <v>71</v>
      </c>
      <c r="E70" s="13" t="s">
        <v>72</v>
      </c>
      <c r="F70" s="14">
        <f>J70+L70</f>
        <v>0.25</v>
      </c>
      <c r="H70" t="s">
        <v>18</v>
      </c>
      <c r="I70" t="s">
        <v>18</v>
      </c>
      <c r="J70" s="15">
        <f>0.03*5</f>
        <v>0.15</v>
      </c>
      <c r="L70">
        <v>0.1</v>
      </c>
      <c r="M70" t="s">
        <v>22</v>
      </c>
      <c r="N70" t="s">
        <v>386</v>
      </c>
      <c r="O70" s="2" t="s">
        <v>732</v>
      </c>
    </row>
    <row r="71" spans="1:16" x14ac:dyDescent="0.25">
      <c r="A71" t="s">
        <v>14</v>
      </c>
      <c r="B71" t="s">
        <v>20</v>
      </c>
      <c r="C71" s="13" t="s">
        <v>68</v>
      </c>
      <c r="D71" s="13" t="s">
        <v>71</v>
      </c>
      <c r="E71" s="13" t="s">
        <v>747</v>
      </c>
      <c r="F71" s="14">
        <f>J71+L71</f>
        <v>0.75</v>
      </c>
      <c r="H71" t="s">
        <v>18</v>
      </c>
      <c r="I71" t="s">
        <v>18</v>
      </c>
      <c r="J71" s="15">
        <f>0.065+0.068+0.07+0.072+0.075</f>
        <v>0.35000000000000003</v>
      </c>
      <c r="L71">
        <v>0.4</v>
      </c>
      <c r="M71" t="s">
        <v>22</v>
      </c>
      <c r="N71" t="s">
        <v>387</v>
      </c>
      <c r="O71" s="2" t="s">
        <v>732</v>
      </c>
    </row>
    <row r="72" spans="1:16" x14ac:dyDescent="0.25">
      <c r="A72" t="s">
        <v>14</v>
      </c>
      <c r="B72" t="s">
        <v>20</v>
      </c>
      <c r="C72" s="13" t="s">
        <v>73</v>
      </c>
      <c r="D72" s="56" t="s">
        <v>748</v>
      </c>
      <c r="E72" s="25"/>
      <c r="F72" s="14">
        <f>J72</f>
        <v>2.4350000000000001</v>
      </c>
      <c r="J72" s="19">
        <f>0.466964697+0.476783991+0.486799671+0.497015664+0.507435977</f>
        <v>2.4350000000000001</v>
      </c>
      <c r="K72" s="19"/>
      <c r="L72" s="19"/>
      <c r="M72" t="s">
        <v>22</v>
      </c>
      <c r="N72" t="s">
        <v>388</v>
      </c>
      <c r="O72" s="2" t="s">
        <v>749</v>
      </c>
    </row>
    <row r="73" spans="1:16" x14ac:dyDescent="0.25">
      <c r="A73" t="s">
        <v>14</v>
      </c>
      <c r="B73" t="s">
        <v>20</v>
      </c>
      <c r="C73" s="13" t="s">
        <v>73</v>
      </c>
      <c r="D73" s="56" t="s">
        <v>750</v>
      </c>
      <c r="E73" s="25"/>
      <c r="F73" s="14">
        <f>J73</f>
        <v>0.05</v>
      </c>
      <c r="J73" s="19">
        <f>0.01*5</f>
        <v>0.05</v>
      </c>
      <c r="K73" s="19"/>
      <c r="L73" s="19"/>
      <c r="M73" t="s">
        <v>22</v>
      </c>
      <c r="N73" t="s">
        <v>389</v>
      </c>
      <c r="O73" s="2" t="s">
        <v>749</v>
      </c>
      <c r="P73" s="2" t="s">
        <v>751</v>
      </c>
    </row>
    <row r="74" spans="1:16" x14ac:dyDescent="0.25">
      <c r="A74" t="s">
        <v>14</v>
      </c>
      <c r="B74" t="s">
        <v>20</v>
      </c>
      <c r="C74" s="13" t="s">
        <v>73</v>
      </c>
      <c r="D74" s="56" t="s">
        <v>752</v>
      </c>
      <c r="E74" s="25"/>
      <c r="F74" s="14">
        <f>J74</f>
        <v>0.05</v>
      </c>
      <c r="J74" s="19">
        <f>0.01*5</f>
        <v>0.05</v>
      </c>
      <c r="K74" s="19"/>
      <c r="L74" s="19"/>
      <c r="M74" t="s">
        <v>22</v>
      </c>
      <c r="N74" t="s">
        <v>390</v>
      </c>
      <c r="O74" s="2" t="s">
        <v>749</v>
      </c>
      <c r="P74" s="2" t="s">
        <v>753</v>
      </c>
    </row>
    <row r="75" spans="1:16" x14ac:dyDescent="0.25">
      <c r="A75" t="s">
        <v>14</v>
      </c>
      <c r="B75" t="s">
        <v>20</v>
      </c>
      <c r="C75" s="13" t="s">
        <v>73</v>
      </c>
      <c r="D75" s="56" t="s">
        <v>754</v>
      </c>
      <c r="E75" s="25"/>
      <c r="F75" s="20">
        <f>J75</f>
        <v>0.02</v>
      </c>
      <c r="J75" s="19">
        <f>0.004*5</f>
        <v>0.02</v>
      </c>
      <c r="K75" s="19"/>
      <c r="L75" s="19"/>
      <c r="M75" t="s">
        <v>22</v>
      </c>
      <c r="N75" t="s">
        <v>391</v>
      </c>
      <c r="O75" s="2" t="s">
        <v>749</v>
      </c>
      <c r="P75" s="2" t="s">
        <v>755</v>
      </c>
    </row>
    <row r="76" spans="1:16" x14ac:dyDescent="0.25">
      <c r="A76" t="s">
        <v>14</v>
      </c>
      <c r="B76" t="s">
        <v>20</v>
      </c>
      <c r="C76" s="13" t="s">
        <v>756</v>
      </c>
      <c r="F76" s="14">
        <f>0.03*5</f>
        <v>0.15</v>
      </c>
      <c r="K76" s="15">
        <f>0.03*5</f>
        <v>0.15</v>
      </c>
      <c r="M76" t="s">
        <v>74</v>
      </c>
      <c r="N76" t="s">
        <v>332</v>
      </c>
      <c r="O76" s="2" t="s">
        <v>333</v>
      </c>
    </row>
    <row r="77" spans="1:16" x14ac:dyDescent="0.25">
      <c r="A77" t="s">
        <v>14</v>
      </c>
      <c r="B77" t="s">
        <v>20</v>
      </c>
      <c r="C77" s="56" t="s">
        <v>757</v>
      </c>
      <c r="F77" s="14">
        <f>0.005*5</f>
        <v>2.5000000000000001E-2</v>
      </c>
      <c r="H77" t="s">
        <v>18</v>
      </c>
      <c r="I77" t="s">
        <v>18</v>
      </c>
      <c r="K77" s="15">
        <f>0.005*5</f>
        <v>2.5000000000000001E-2</v>
      </c>
      <c r="M77" t="s">
        <v>22</v>
      </c>
      <c r="N77" t="s">
        <v>392</v>
      </c>
      <c r="O77" s="2" t="s">
        <v>732</v>
      </c>
    </row>
    <row r="78" spans="1:16" x14ac:dyDescent="0.25">
      <c r="A78" t="s">
        <v>14</v>
      </c>
      <c r="B78" t="s">
        <v>20</v>
      </c>
      <c r="C78" s="13" t="s">
        <v>75</v>
      </c>
      <c r="D78" s="13" t="s">
        <v>75</v>
      </c>
      <c r="F78" s="14">
        <f>K78</f>
        <v>0.97499999999999998</v>
      </c>
      <c r="K78" s="18">
        <f>0.2*5-K79</f>
        <v>0.97499999999999998</v>
      </c>
      <c r="L78" s="18"/>
      <c r="M78" t="s">
        <v>75</v>
      </c>
      <c r="N78" t="s">
        <v>393</v>
      </c>
      <c r="O78" s="2" t="s">
        <v>758</v>
      </c>
      <c r="P78" s="2" t="s">
        <v>759</v>
      </c>
    </row>
    <row r="79" spans="1:16" x14ac:dyDescent="0.25">
      <c r="A79" t="s">
        <v>14</v>
      </c>
      <c r="B79" t="s">
        <v>20</v>
      </c>
      <c r="C79" s="13" t="s">
        <v>75</v>
      </c>
      <c r="D79" s="56" t="s">
        <v>760</v>
      </c>
      <c r="F79" s="20">
        <f>K79</f>
        <v>2.5000000000000001E-2</v>
      </c>
      <c r="K79" s="18">
        <f>0.005*5</f>
        <v>2.5000000000000001E-2</v>
      </c>
      <c r="L79" s="18"/>
      <c r="M79" t="s">
        <v>75</v>
      </c>
      <c r="N79" t="s">
        <v>394</v>
      </c>
      <c r="O79" s="2" t="s">
        <v>761</v>
      </c>
    </row>
    <row r="80" spans="1:16" x14ac:dyDescent="0.25">
      <c r="A80" t="s">
        <v>14</v>
      </c>
      <c r="B80" t="s">
        <v>20</v>
      </c>
      <c r="C80" s="13" t="s">
        <v>76</v>
      </c>
      <c r="F80" s="14">
        <v>1.25</v>
      </c>
      <c r="L80" s="18">
        <v>1.25</v>
      </c>
      <c r="M80" t="s">
        <v>22</v>
      </c>
      <c r="N80" t="s">
        <v>395</v>
      </c>
      <c r="O80" s="2" t="s">
        <v>728</v>
      </c>
      <c r="P80" s="2" t="s">
        <v>759</v>
      </c>
    </row>
    <row r="81" spans="1:16" x14ac:dyDescent="0.25">
      <c r="A81" t="s">
        <v>14</v>
      </c>
      <c r="B81" t="s">
        <v>20</v>
      </c>
      <c r="C81" s="13" t="s">
        <v>77</v>
      </c>
      <c r="F81" s="14">
        <f>0.02*5</f>
        <v>0.1</v>
      </c>
      <c r="K81" s="15">
        <f>0.02*5</f>
        <v>0.1</v>
      </c>
      <c r="L81" s="15"/>
      <c r="M81" t="s">
        <v>78</v>
      </c>
      <c r="N81" t="s">
        <v>396</v>
      </c>
      <c r="O81" s="2" t="s">
        <v>762</v>
      </c>
      <c r="P81" s="2" t="s">
        <v>763</v>
      </c>
    </row>
    <row r="82" spans="1:16" x14ac:dyDescent="0.25">
      <c r="A82" t="s">
        <v>14</v>
      </c>
      <c r="B82" t="s">
        <v>20</v>
      </c>
      <c r="C82" s="13" t="s">
        <v>79</v>
      </c>
      <c r="F82" s="14">
        <f>0.05*5</f>
        <v>0.25</v>
      </c>
      <c r="H82" t="s">
        <v>18</v>
      </c>
      <c r="I82" t="s">
        <v>18</v>
      </c>
      <c r="K82" s="15">
        <f>0.05*5</f>
        <v>0.25</v>
      </c>
      <c r="M82" t="s">
        <v>22</v>
      </c>
      <c r="N82" t="s">
        <v>397</v>
      </c>
      <c r="O82" s="2" t="s">
        <v>732</v>
      </c>
    </row>
    <row r="83" spans="1:16" x14ac:dyDescent="0.25">
      <c r="A83" t="s">
        <v>14</v>
      </c>
      <c r="B83" t="s">
        <v>20</v>
      </c>
      <c r="C83" s="56" t="s">
        <v>764</v>
      </c>
      <c r="F83" s="14">
        <f>0.002*5</f>
        <v>0.01</v>
      </c>
      <c r="H83" t="s">
        <v>18</v>
      </c>
      <c r="I83" t="s">
        <v>18</v>
      </c>
      <c r="K83" s="15">
        <f>0.002*5</f>
        <v>0.01</v>
      </c>
      <c r="M83" t="s">
        <v>22</v>
      </c>
      <c r="N83" t="s">
        <v>398</v>
      </c>
      <c r="O83" s="2" t="s">
        <v>732</v>
      </c>
    </row>
    <row r="84" spans="1:16" x14ac:dyDescent="0.25">
      <c r="A84" t="s">
        <v>14</v>
      </c>
      <c r="B84" t="s">
        <v>20</v>
      </c>
      <c r="C84" s="56" t="s">
        <v>765</v>
      </c>
      <c r="D84" s="56" t="s">
        <v>765</v>
      </c>
      <c r="F84" s="14">
        <f>K84</f>
        <v>0.98499999999999999</v>
      </c>
      <c r="G84" t="s">
        <v>18</v>
      </c>
      <c r="H84" t="s">
        <v>18</v>
      </c>
      <c r="I84" t="s">
        <v>18</v>
      </c>
      <c r="K84" s="15">
        <f>0.2*5-K85</f>
        <v>0.98499999999999999</v>
      </c>
      <c r="M84" t="s">
        <v>22</v>
      </c>
      <c r="N84" t="s">
        <v>399</v>
      </c>
      <c r="O84" s="2" t="s">
        <v>732</v>
      </c>
    </row>
    <row r="85" spans="1:16" x14ac:dyDescent="0.25">
      <c r="A85" t="s">
        <v>14</v>
      </c>
      <c r="B85" t="s">
        <v>20</v>
      </c>
      <c r="C85" s="56" t="s">
        <v>765</v>
      </c>
      <c r="D85" t="s">
        <v>766</v>
      </c>
      <c r="F85" s="14">
        <f>K85</f>
        <v>1.4999999999999999E-2</v>
      </c>
      <c r="G85" t="s">
        <v>18</v>
      </c>
      <c r="H85" t="s">
        <v>18</v>
      </c>
      <c r="I85" t="s">
        <v>18</v>
      </c>
      <c r="K85" s="15">
        <f>0.003*5</f>
        <v>1.4999999999999999E-2</v>
      </c>
      <c r="M85" t="s">
        <v>22</v>
      </c>
      <c r="N85" t="s">
        <v>400</v>
      </c>
      <c r="O85" s="2" t="s">
        <v>732</v>
      </c>
    </row>
    <row r="86" spans="1:16" x14ac:dyDescent="0.25">
      <c r="A86" t="s">
        <v>14</v>
      </c>
      <c r="B86" t="s">
        <v>20</v>
      </c>
      <c r="C86" s="56" t="s">
        <v>767</v>
      </c>
      <c r="F86" s="14">
        <f>0.0025*5</f>
        <v>1.2500000000000001E-2</v>
      </c>
      <c r="G86" t="s">
        <v>18</v>
      </c>
      <c r="H86" t="s">
        <v>18</v>
      </c>
      <c r="K86" s="15">
        <f>0.0025*5</f>
        <v>1.2500000000000001E-2</v>
      </c>
      <c r="M86" t="s">
        <v>22</v>
      </c>
      <c r="N86" t="s">
        <v>401</v>
      </c>
      <c r="O86" s="2" t="s">
        <v>732</v>
      </c>
    </row>
    <row r="87" spans="1:16" x14ac:dyDescent="0.25">
      <c r="A87" t="s">
        <v>14</v>
      </c>
      <c r="B87" t="s">
        <v>20</v>
      </c>
      <c r="C87" s="56" t="s">
        <v>768</v>
      </c>
      <c r="F87" s="14">
        <f>0.005*5</f>
        <v>2.5000000000000001E-2</v>
      </c>
      <c r="H87" t="s">
        <v>18</v>
      </c>
      <c r="K87" s="15">
        <f>0.005*5</f>
        <v>2.5000000000000001E-2</v>
      </c>
      <c r="M87" t="s">
        <v>22</v>
      </c>
      <c r="N87" t="s">
        <v>402</v>
      </c>
      <c r="O87" s="2" t="s">
        <v>732</v>
      </c>
    </row>
    <row r="88" spans="1:16" x14ac:dyDescent="0.25">
      <c r="A88" t="s">
        <v>14</v>
      </c>
      <c r="B88" t="s">
        <v>20</v>
      </c>
      <c r="C88" s="56" t="s">
        <v>769</v>
      </c>
      <c r="F88" s="14">
        <f>0.05+0.052+0.054+0.056+0.058</f>
        <v>0.27</v>
      </c>
      <c r="K88" s="15">
        <f>0.05+0.052+0.054+0.056+0.058</f>
        <v>0.27</v>
      </c>
      <c r="M88" t="s">
        <v>80</v>
      </c>
      <c r="N88" t="s">
        <v>403</v>
      </c>
      <c r="O88" s="2" t="s">
        <v>770</v>
      </c>
      <c r="P88" s="2" t="s">
        <v>732</v>
      </c>
    </row>
    <row r="89" spans="1:16" x14ac:dyDescent="0.25">
      <c r="A89" t="s">
        <v>14</v>
      </c>
      <c r="B89" s="13" t="s">
        <v>81</v>
      </c>
      <c r="C89" s="56" t="s">
        <v>771</v>
      </c>
      <c r="F89" s="14">
        <f>0.005*5</f>
        <v>2.5000000000000001E-2</v>
      </c>
      <c r="H89" t="s">
        <v>18</v>
      </c>
      <c r="I89" t="s">
        <v>18</v>
      </c>
      <c r="K89" s="15">
        <f>0.005*5</f>
        <v>2.5000000000000001E-2</v>
      </c>
      <c r="M89" t="s">
        <v>22</v>
      </c>
      <c r="N89" t="s">
        <v>404</v>
      </c>
      <c r="O89" s="2" t="s">
        <v>732</v>
      </c>
    </row>
    <row r="90" spans="1:16" x14ac:dyDescent="0.25">
      <c r="A90" t="s">
        <v>14</v>
      </c>
      <c r="B90" s="13" t="s">
        <v>81</v>
      </c>
      <c r="C90" s="56" t="s">
        <v>772</v>
      </c>
      <c r="F90" s="14">
        <v>5</v>
      </c>
      <c r="H90" t="s">
        <v>18</v>
      </c>
      <c r="I90" t="s">
        <v>18</v>
      </c>
      <c r="K90" s="15">
        <f>2*5</f>
        <v>10</v>
      </c>
      <c r="L90">
        <v>5</v>
      </c>
      <c r="M90" t="s">
        <v>22</v>
      </c>
      <c r="N90" t="s">
        <v>405</v>
      </c>
      <c r="O90" s="2" t="s">
        <v>732</v>
      </c>
    </row>
    <row r="91" spans="1:16" x14ac:dyDescent="0.25">
      <c r="A91" t="s">
        <v>14</v>
      </c>
      <c r="B91" s="13" t="s">
        <v>81</v>
      </c>
      <c r="C91" s="56" t="s">
        <v>773</v>
      </c>
      <c r="F91" s="17">
        <v>7.5</v>
      </c>
      <c r="I91" t="s">
        <v>18</v>
      </c>
      <c r="K91" s="15">
        <f>1.5*5</f>
        <v>7.5</v>
      </c>
      <c r="L91" s="15">
        <f>1.5*5</f>
        <v>7.5</v>
      </c>
      <c r="M91" t="s">
        <v>22</v>
      </c>
      <c r="N91" t="s">
        <v>406</v>
      </c>
      <c r="O91" s="2" t="s">
        <v>732</v>
      </c>
    </row>
    <row r="92" spans="1:16" x14ac:dyDescent="0.25">
      <c r="A92" t="s">
        <v>14</v>
      </c>
      <c r="B92" s="13" t="s">
        <v>81</v>
      </c>
      <c r="C92" s="56" t="s">
        <v>774</v>
      </c>
      <c r="F92" s="14">
        <v>1</v>
      </c>
      <c r="H92" t="s">
        <v>18</v>
      </c>
      <c r="I92" t="s">
        <v>18</v>
      </c>
      <c r="K92" s="15">
        <f>0.8*5</f>
        <v>4</v>
      </c>
      <c r="L92">
        <v>1</v>
      </c>
      <c r="M92" t="s">
        <v>82</v>
      </c>
      <c r="N92" t="s">
        <v>407</v>
      </c>
      <c r="O92" s="2" t="s">
        <v>732</v>
      </c>
    </row>
    <row r="93" spans="1:16" x14ac:dyDescent="0.25">
      <c r="A93" t="s">
        <v>14</v>
      </c>
      <c r="B93" s="13" t="s">
        <v>81</v>
      </c>
      <c r="C93" s="13" t="s">
        <v>775</v>
      </c>
      <c r="F93" s="14">
        <f>0.00375*5</f>
        <v>1.8749999999999999E-2</v>
      </c>
      <c r="H93" t="s">
        <v>18</v>
      </c>
      <c r="K93" s="15">
        <f>0.00375*5</f>
        <v>1.8749999999999999E-2</v>
      </c>
      <c r="M93" t="s">
        <v>22</v>
      </c>
      <c r="N93" t="s">
        <v>408</v>
      </c>
      <c r="O93" s="2" t="s">
        <v>776</v>
      </c>
    </row>
    <row r="94" spans="1:16" x14ac:dyDescent="0.25">
      <c r="A94" t="s">
        <v>14</v>
      </c>
      <c r="B94" t="s">
        <v>83</v>
      </c>
      <c r="C94" s="56" t="s">
        <v>777</v>
      </c>
      <c r="F94" s="14">
        <f>(0.05*5)+0.07</f>
        <v>0.32</v>
      </c>
      <c r="K94" s="15">
        <f>(0.05*5)+0.07</f>
        <v>0.32</v>
      </c>
      <c r="M94" t="s">
        <v>22</v>
      </c>
      <c r="N94" t="s">
        <v>409</v>
      </c>
      <c r="O94" s="2" t="s">
        <v>778</v>
      </c>
    </row>
    <row r="95" spans="1:16" x14ac:dyDescent="0.25">
      <c r="A95" t="s">
        <v>14</v>
      </c>
      <c r="B95" t="s">
        <v>83</v>
      </c>
      <c r="C95" s="13" t="s">
        <v>84</v>
      </c>
      <c r="D95" s="56" t="s">
        <v>779</v>
      </c>
      <c r="F95" s="14">
        <f>L95</f>
        <v>6</v>
      </c>
      <c r="K95" s="15">
        <f>1.57+1.1+1.2+1.3+1.4</f>
        <v>6.57</v>
      </c>
      <c r="L95" s="19">
        <v>6</v>
      </c>
      <c r="M95" t="s">
        <v>22</v>
      </c>
      <c r="N95" t="s">
        <v>410</v>
      </c>
      <c r="O95" s="2" t="s">
        <v>780</v>
      </c>
    </row>
    <row r="96" spans="1:16" x14ac:dyDescent="0.25">
      <c r="A96" t="s">
        <v>14</v>
      </c>
      <c r="B96" t="s">
        <v>83</v>
      </c>
      <c r="C96" s="13" t="s">
        <v>84</v>
      </c>
      <c r="D96" t="s">
        <v>782</v>
      </c>
      <c r="F96" s="14">
        <f>L96</f>
        <v>16</v>
      </c>
      <c r="K96" s="15">
        <f>2.3+2.2+2.45+2.7+3</f>
        <v>12.65</v>
      </c>
      <c r="L96" s="19">
        <v>16</v>
      </c>
      <c r="M96" t="s">
        <v>22</v>
      </c>
      <c r="N96" t="s">
        <v>411</v>
      </c>
      <c r="O96" s="2" t="s">
        <v>781</v>
      </c>
    </row>
    <row r="97" spans="1:16" x14ac:dyDescent="0.25">
      <c r="A97" t="s">
        <v>14</v>
      </c>
      <c r="B97" t="s">
        <v>83</v>
      </c>
      <c r="C97" s="13" t="s">
        <v>85</v>
      </c>
      <c r="D97" s="56" t="s">
        <v>783</v>
      </c>
      <c r="E97" s="13"/>
      <c r="F97" s="14">
        <f>0.248+0.254+0.263+0.271+0.279</f>
        <v>1.3149999999999999</v>
      </c>
      <c r="K97" s="15">
        <f>0.248+0.254+0.263+0.271+0.279</f>
        <v>1.3149999999999999</v>
      </c>
      <c r="M97" s="26" t="s">
        <v>22</v>
      </c>
      <c r="N97" t="s">
        <v>412</v>
      </c>
      <c r="O97" s="2" t="s">
        <v>784</v>
      </c>
    </row>
    <row r="98" spans="1:16" x14ac:dyDescent="0.25">
      <c r="A98" t="s">
        <v>14</v>
      </c>
      <c r="B98" t="s">
        <v>83</v>
      </c>
      <c r="C98" s="13" t="s">
        <v>85</v>
      </c>
      <c r="D98" s="13" t="s">
        <v>86</v>
      </c>
      <c r="E98" s="13"/>
      <c r="F98" s="14">
        <f>0.043+0.044+0.045+0.046+0.047</f>
        <v>0.22499999999999998</v>
      </c>
      <c r="K98" s="15">
        <f>0.043+0.044+0.045+0.046+0.047</f>
        <v>0.22499999999999998</v>
      </c>
      <c r="M98" s="26" t="s">
        <v>22</v>
      </c>
      <c r="N98" t="s">
        <v>413</v>
      </c>
      <c r="O98" s="2" t="s">
        <v>785</v>
      </c>
    </row>
    <row r="99" spans="1:16" x14ac:dyDescent="0.25">
      <c r="A99" t="s">
        <v>14</v>
      </c>
      <c r="B99" t="s">
        <v>83</v>
      </c>
      <c r="C99" s="13" t="s">
        <v>787</v>
      </c>
      <c r="F99" s="14">
        <f>1*5</f>
        <v>5</v>
      </c>
      <c r="I99" t="s">
        <v>18</v>
      </c>
      <c r="K99" s="18">
        <v>5</v>
      </c>
      <c r="L99" s="14">
        <v>5</v>
      </c>
      <c r="M99" s="26" t="s">
        <v>22</v>
      </c>
      <c r="N99" t="s">
        <v>414</v>
      </c>
      <c r="O99" s="2" t="s">
        <v>786</v>
      </c>
    </row>
    <row r="100" spans="1:16" x14ac:dyDescent="0.25">
      <c r="A100" t="s">
        <v>14</v>
      </c>
      <c r="B100" t="s">
        <v>83</v>
      </c>
      <c r="C100" s="13" t="s">
        <v>789</v>
      </c>
      <c r="F100" s="14">
        <v>3</v>
      </c>
      <c r="H100" t="s">
        <v>18</v>
      </c>
      <c r="I100" t="s">
        <v>18</v>
      </c>
      <c r="K100">
        <f>0.5*5</f>
        <v>2.5</v>
      </c>
      <c r="L100" s="19">
        <v>3</v>
      </c>
      <c r="M100" s="26" t="s">
        <v>22</v>
      </c>
      <c r="N100" t="s">
        <v>415</v>
      </c>
      <c r="O100" s="2" t="s">
        <v>788</v>
      </c>
    </row>
    <row r="101" spans="1:16" x14ac:dyDescent="0.25">
      <c r="A101" t="s">
        <v>14</v>
      </c>
      <c r="B101" t="s">
        <v>83</v>
      </c>
      <c r="C101" s="13" t="s">
        <v>790</v>
      </c>
      <c r="F101" s="14">
        <f>0.05*5</f>
        <v>0.25</v>
      </c>
      <c r="I101" t="s">
        <v>18</v>
      </c>
      <c r="K101" s="18">
        <f>0.05*5</f>
        <v>0.25</v>
      </c>
      <c r="L101" s="19"/>
      <c r="M101" s="26" t="s">
        <v>22</v>
      </c>
      <c r="N101" t="s">
        <v>416</v>
      </c>
      <c r="O101" s="2" t="s">
        <v>791</v>
      </c>
    </row>
    <row r="102" spans="1:16" x14ac:dyDescent="0.25">
      <c r="A102" t="s">
        <v>14</v>
      </c>
      <c r="B102" t="s">
        <v>83</v>
      </c>
      <c r="C102" s="56" t="s">
        <v>792</v>
      </c>
      <c r="F102" s="14">
        <v>36</v>
      </c>
      <c r="I102" t="s">
        <v>18</v>
      </c>
      <c r="K102" s="15">
        <f>1.5*5</f>
        <v>7.5</v>
      </c>
      <c r="L102" s="19">
        <v>36</v>
      </c>
      <c r="M102" s="26" t="s">
        <v>22</v>
      </c>
      <c r="N102" t="s">
        <v>417</v>
      </c>
      <c r="O102" s="2" t="s">
        <v>793</v>
      </c>
      <c r="P102" s="2" t="s">
        <v>732</v>
      </c>
    </row>
    <row r="103" spans="1:16" x14ac:dyDescent="0.25">
      <c r="A103" t="s">
        <v>14</v>
      </c>
      <c r="B103" t="s">
        <v>83</v>
      </c>
      <c r="C103" s="56" t="s">
        <v>87</v>
      </c>
      <c r="F103" s="14">
        <f>0.0265+0.027+0.0275+0.028+0.0285</f>
        <v>0.13750000000000001</v>
      </c>
      <c r="K103" s="15">
        <f>0.0265+0.027+0.0275+0.028+0.0285</f>
        <v>0.13750000000000001</v>
      </c>
      <c r="M103" t="s">
        <v>88</v>
      </c>
      <c r="N103" t="s">
        <v>418</v>
      </c>
      <c r="O103" s="2" t="s">
        <v>794</v>
      </c>
    </row>
    <row r="104" spans="1:16" x14ac:dyDescent="0.25">
      <c r="A104" t="s">
        <v>14</v>
      </c>
      <c r="B104" t="s">
        <v>83</v>
      </c>
      <c r="C104" s="56" t="s">
        <v>795</v>
      </c>
      <c r="F104" s="14">
        <f>0.0075+0.0075</f>
        <v>1.4999999999999999E-2</v>
      </c>
      <c r="K104" s="15">
        <f>0.0075+0.0075</f>
        <v>1.4999999999999999E-2</v>
      </c>
      <c r="M104" s="26" t="s">
        <v>22</v>
      </c>
      <c r="N104" t="s">
        <v>419</v>
      </c>
      <c r="O104" s="2" t="s">
        <v>732</v>
      </c>
    </row>
    <row r="105" spans="1:16" x14ac:dyDescent="0.25">
      <c r="A105" t="s">
        <v>14</v>
      </c>
      <c r="B105" t="s">
        <v>89</v>
      </c>
      <c r="C105" s="56" t="s">
        <v>796</v>
      </c>
      <c r="D105" s="56" t="s">
        <v>796</v>
      </c>
      <c r="F105" s="14">
        <f>0.36+0.3675+0.375+0.3825+0.39</f>
        <v>1.875</v>
      </c>
      <c r="J105" s="15">
        <f>0.36+0.3675+0.375+0.3825+0.39</f>
        <v>1.875</v>
      </c>
      <c r="M105" t="s">
        <v>90</v>
      </c>
      <c r="N105" t="s">
        <v>420</v>
      </c>
      <c r="O105" s="2" t="s">
        <v>732</v>
      </c>
    </row>
    <row r="106" spans="1:16" x14ac:dyDescent="0.25">
      <c r="A106" t="s">
        <v>14</v>
      </c>
      <c r="B106" t="s">
        <v>89</v>
      </c>
      <c r="C106" s="56" t="s">
        <v>796</v>
      </c>
      <c r="D106" s="16" t="s">
        <v>798</v>
      </c>
      <c r="E106" s="16"/>
      <c r="F106" s="14">
        <v>0.05</v>
      </c>
      <c r="L106" s="15">
        <v>0.05</v>
      </c>
      <c r="M106" t="s">
        <v>90</v>
      </c>
      <c r="N106" t="s">
        <v>421</v>
      </c>
      <c r="O106" s="2" t="s">
        <v>797</v>
      </c>
    </row>
    <row r="107" spans="1:16" x14ac:dyDescent="0.25">
      <c r="A107" t="s">
        <v>14</v>
      </c>
      <c r="B107" t="s">
        <v>89</v>
      </c>
      <c r="C107" s="56" t="s">
        <v>799</v>
      </c>
      <c r="F107" s="14">
        <f>0.39+0.3985+0.4065+0.4145+0.4225</f>
        <v>2.0319999999999996</v>
      </c>
      <c r="J107" s="15">
        <f>0.39+0.3985+0.4065+0.4145+0.4225</f>
        <v>2.0319999999999996</v>
      </c>
      <c r="M107" t="s">
        <v>90</v>
      </c>
      <c r="N107" t="s">
        <v>422</v>
      </c>
      <c r="O107" s="2" t="s">
        <v>800</v>
      </c>
    </row>
    <row r="108" spans="1:16" x14ac:dyDescent="0.25">
      <c r="A108" t="s">
        <v>14</v>
      </c>
      <c r="B108" t="s">
        <v>89</v>
      </c>
      <c r="C108" s="13" t="s">
        <v>802</v>
      </c>
      <c r="F108" s="14">
        <f>0.0576+0.0588+0.06+0.0612+0.0624</f>
        <v>0.3</v>
      </c>
      <c r="I108" t="s">
        <v>18</v>
      </c>
      <c r="J108" s="15">
        <f>0.0576+0.0588+0.06+0.0612+0.0624</f>
        <v>0.3</v>
      </c>
      <c r="M108" t="s">
        <v>90</v>
      </c>
      <c r="N108" t="s">
        <v>423</v>
      </c>
      <c r="O108" s="2" t="s">
        <v>801</v>
      </c>
    </row>
    <row r="109" spans="1:16" x14ac:dyDescent="0.25">
      <c r="A109" t="s">
        <v>14</v>
      </c>
      <c r="B109" t="s">
        <v>89</v>
      </c>
      <c r="C109" s="56" t="s">
        <v>805</v>
      </c>
      <c r="F109" s="14">
        <f>0.005*5</f>
        <v>2.5000000000000001E-2</v>
      </c>
      <c r="I109" t="s">
        <v>18</v>
      </c>
      <c r="J109" s="15">
        <f>0.005*5</f>
        <v>2.5000000000000001E-2</v>
      </c>
      <c r="M109" t="s">
        <v>90</v>
      </c>
      <c r="N109" t="s">
        <v>424</v>
      </c>
      <c r="O109" s="2" t="s">
        <v>803</v>
      </c>
    </row>
    <row r="110" spans="1:16" x14ac:dyDescent="0.25">
      <c r="A110" t="s">
        <v>14</v>
      </c>
      <c r="B110" t="s">
        <v>89</v>
      </c>
      <c r="C110" s="56" t="s">
        <v>806</v>
      </c>
      <c r="F110" s="14">
        <f>0.0011+0.0012+0.0013+0.0014+0.0015</f>
        <v>6.5000000000000006E-3</v>
      </c>
      <c r="I110" t="s">
        <v>18</v>
      </c>
      <c r="J110" s="15">
        <f>0.0011+0.0012+0.0013+0.0014+0.0015</f>
        <v>6.5000000000000006E-3</v>
      </c>
      <c r="M110" t="s">
        <v>90</v>
      </c>
      <c r="N110" t="s">
        <v>425</v>
      </c>
      <c r="O110" s="2" t="s">
        <v>804</v>
      </c>
    </row>
    <row r="111" spans="1:16" x14ac:dyDescent="0.25">
      <c r="A111" t="s">
        <v>14</v>
      </c>
      <c r="B111" t="s">
        <v>89</v>
      </c>
      <c r="C111" s="56" t="s">
        <v>807</v>
      </c>
      <c r="F111" s="14">
        <f>0.0418+0.04265+0.0435+0.04435+0.0452</f>
        <v>0.2175</v>
      </c>
      <c r="I111" t="s">
        <v>18</v>
      </c>
      <c r="J111" s="15">
        <f>0.0418+0.04265+0.0435+0.04435+0.0452</f>
        <v>0.2175</v>
      </c>
      <c r="M111" t="s">
        <v>90</v>
      </c>
      <c r="N111" t="s">
        <v>426</v>
      </c>
      <c r="O111" s="2" t="s">
        <v>808</v>
      </c>
    </row>
    <row r="112" spans="1:16" x14ac:dyDescent="0.25">
      <c r="A112" t="s">
        <v>14</v>
      </c>
      <c r="B112" t="s">
        <v>89</v>
      </c>
      <c r="C112" s="56" t="s">
        <v>809</v>
      </c>
      <c r="F112" s="14">
        <v>0.62250000000000005</v>
      </c>
      <c r="L112" s="15">
        <v>0.62250000000000005</v>
      </c>
      <c r="M112" t="s">
        <v>90</v>
      </c>
      <c r="N112" t="s">
        <v>427</v>
      </c>
      <c r="O112" s="2" t="s">
        <v>810</v>
      </c>
    </row>
    <row r="113" spans="1:16" x14ac:dyDescent="0.25">
      <c r="A113" t="s">
        <v>14</v>
      </c>
      <c r="B113" t="s">
        <v>89</v>
      </c>
      <c r="C113" s="16" t="s">
        <v>811</v>
      </c>
      <c r="F113" s="20">
        <f>J113+L113</f>
        <v>1.9920000000000002</v>
      </c>
      <c r="J113" s="15">
        <f>0.3634+0.3709+0.3784+0.3859+0.3934</f>
        <v>1.8920000000000001</v>
      </c>
      <c r="L113" s="15">
        <f>0.1</f>
        <v>0.1</v>
      </c>
      <c r="M113" t="s">
        <v>22</v>
      </c>
      <c r="N113" t="s">
        <v>428</v>
      </c>
      <c r="O113" s="2" t="s">
        <v>812</v>
      </c>
      <c r="P113" s="2" t="s">
        <v>732</v>
      </c>
    </row>
    <row r="114" spans="1:16" x14ac:dyDescent="0.25">
      <c r="A114" t="s">
        <v>14</v>
      </c>
      <c r="B114" t="s">
        <v>89</v>
      </c>
      <c r="C114" s="56" t="s">
        <v>813</v>
      </c>
      <c r="F114" s="20">
        <f>0.186+0.19+0.194+0.198+0.202</f>
        <v>0.97</v>
      </c>
      <c r="J114" s="18">
        <f>0.186+0.19+0.194+0.198+0.202</f>
        <v>0.97</v>
      </c>
      <c r="M114" t="s">
        <v>22</v>
      </c>
      <c r="N114" t="s">
        <v>429</v>
      </c>
      <c r="O114" s="2" t="s">
        <v>732</v>
      </c>
    </row>
    <row r="115" spans="1:16" x14ac:dyDescent="0.25">
      <c r="A115" t="s">
        <v>14</v>
      </c>
      <c r="B115" t="s">
        <v>89</v>
      </c>
      <c r="C115" s="13" t="s">
        <v>814</v>
      </c>
      <c r="F115" s="20">
        <f>0.0364+0.0383+0.0403+0.0423+0.0443</f>
        <v>0.2016</v>
      </c>
      <c r="J115" s="18">
        <f>0.0364+0.0383+0.0403+0.0423+0.0443</f>
        <v>0.2016</v>
      </c>
      <c r="M115" t="s">
        <v>22</v>
      </c>
      <c r="N115" t="s">
        <v>430</v>
      </c>
      <c r="O115" s="2" t="s">
        <v>815</v>
      </c>
    </row>
    <row r="116" spans="1:16" x14ac:dyDescent="0.25">
      <c r="A116" t="s">
        <v>14</v>
      </c>
      <c r="B116" t="s">
        <v>89</v>
      </c>
      <c r="C116" s="56" t="s">
        <v>816</v>
      </c>
      <c r="F116" s="20">
        <f>J116+L116</f>
        <v>1.8745000000000001</v>
      </c>
      <c r="H116" s="27"/>
      <c r="J116" s="18">
        <f>0.3365+0.3465+0.3535+0.3605+0.3675</f>
        <v>1.7645</v>
      </c>
      <c r="L116">
        <f>0.11</f>
        <v>0.11</v>
      </c>
      <c r="M116" t="s">
        <v>22</v>
      </c>
      <c r="N116" t="s">
        <v>431</v>
      </c>
      <c r="O116" s="2" t="s">
        <v>817</v>
      </c>
    </row>
    <row r="117" spans="1:16" x14ac:dyDescent="0.25">
      <c r="A117" t="s">
        <v>14</v>
      </c>
      <c r="B117" t="s">
        <v>89</v>
      </c>
      <c r="C117" s="13" t="s">
        <v>91</v>
      </c>
      <c r="D117" s="13"/>
      <c r="E117" s="13"/>
      <c r="F117" s="20">
        <f>J117+L117</f>
        <v>0.515820257</v>
      </c>
      <c r="J117" s="18">
        <f>0.038+0.03952+0.0411008+0.042744832+0.044454625</f>
        <v>0.20582025700000001</v>
      </c>
      <c r="L117" s="18">
        <v>0.31</v>
      </c>
      <c r="M117" t="s">
        <v>92</v>
      </c>
      <c r="N117" t="s">
        <v>432</v>
      </c>
      <c r="O117" s="2" t="s">
        <v>818</v>
      </c>
    </row>
    <row r="118" spans="1:16" x14ac:dyDescent="0.25">
      <c r="A118" t="s">
        <v>14</v>
      </c>
      <c r="B118" t="s">
        <v>89</v>
      </c>
      <c r="C118" s="13" t="s">
        <v>820</v>
      </c>
      <c r="F118" s="20">
        <f>0.0068+0.007+0.0072+0.0074+0.0076</f>
        <v>3.5999999999999997E-2</v>
      </c>
      <c r="J118" s="18">
        <f>0.0068+0.007+0.0072+0.0074+0.0076</f>
        <v>3.5999999999999997E-2</v>
      </c>
      <c r="M118" t="s">
        <v>92</v>
      </c>
      <c r="N118" t="s">
        <v>433</v>
      </c>
      <c r="O118" s="2" t="s">
        <v>819</v>
      </c>
    </row>
    <row r="119" spans="1:16" x14ac:dyDescent="0.25">
      <c r="A119" t="s">
        <v>14</v>
      </c>
      <c r="B119" t="s">
        <v>89</v>
      </c>
      <c r="C119" s="13" t="s">
        <v>821</v>
      </c>
      <c r="F119" s="20">
        <f>0.15*5</f>
        <v>0.75</v>
      </c>
      <c r="L119" s="18">
        <f>0.15*5</f>
        <v>0.75</v>
      </c>
      <c r="M119" t="s">
        <v>22</v>
      </c>
      <c r="N119" t="s">
        <v>434</v>
      </c>
      <c r="O119" s="2" t="s">
        <v>822</v>
      </c>
    </row>
    <row r="120" spans="1:16" x14ac:dyDescent="0.25">
      <c r="A120" t="s">
        <v>14</v>
      </c>
      <c r="B120" t="s">
        <v>89</v>
      </c>
      <c r="C120" s="56" t="s">
        <v>823</v>
      </c>
      <c r="F120" s="20">
        <f>L120</f>
        <v>5</v>
      </c>
      <c r="H120" t="s">
        <v>18</v>
      </c>
      <c r="I120" t="s">
        <v>18</v>
      </c>
      <c r="K120" s="18">
        <f>0.2*5</f>
        <v>1</v>
      </c>
      <c r="L120" s="18">
        <v>5</v>
      </c>
      <c r="M120" t="s">
        <v>22</v>
      </c>
      <c r="N120" t="s">
        <v>435</v>
      </c>
      <c r="O120" s="2" t="s">
        <v>732</v>
      </c>
    </row>
    <row r="121" spans="1:16" x14ac:dyDescent="0.25">
      <c r="A121" t="s">
        <v>14</v>
      </c>
      <c r="B121" t="s">
        <v>89</v>
      </c>
      <c r="C121" s="13" t="s">
        <v>824</v>
      </c>
      <c r="F121" s="20">
        <f>0.200294333+0.204300219+0.208386224+0.212553948+0.216805027</f>
        <v>1.0423397509999999</v>
      </c>
      <c r="K121" s="18">
        <f>0.200294333+0.204300219+0.208386224+0.212553948+0.216805027</f>
        <v>1.0423397509999999</v>
      </c>
      <c r="M121" t="s">
        <v>22</v>
      </c>
      <c r="N121" t="s">
        <v>436</v>
      </c>
      <c r="O121" s="2" t="s">
        <v>732</v>
      </c>
    </row>
    <row r="122" spans="1:16" x14ac:dyDescent="0.25">
      <c r="A122" t="s">
        <v>14</v>
      </c>
      <c r="B122" t="s">
        <v>89</v>
      </c>
      <c r="C122" s="16" t="s">
        <v>826</v>
      </c>
      <c r="F122" s="20">
        <v>0.54849999999999999</v>
      </c>
      <c r="L122" s="18">
        <v>0.54849999999999999</v>
      </c>
      <c r="M122" t="s">
        <v>92</v>
      </c>
      <c r="N122" t="s">
        <v>437</v>
      </c>
      <c r="O122" s="2" t="s">
        <v>825</v>
      </c>
    </row>
    <row r="123" spans="1:16" x14ac:dyDescent="0.25">
      <c r="A123" t="s">
        <v>14</v>
      </c>
      <c r="B123" t="s">
        <v>93</v>
      </c>
      <c r="C123" s="13" t="s">
        <v>66</v>
      </c>
      <c r="F123" s="20">
        <f>0.01*5</f>
        <v>0.05</v>
      </c>
      <c r="J123" s="18">
        <f>0.01*5</f>
        <v>0.05</v>
      </c>
      <c r="M123" t="s">
        <v>67</v>
      </c>
      <c r="N123" t="s">
        <v>438</v>
      </c>
      <c r="O123" s="2" t="s">
        <v>746</v>
      </c>
    </row>
    <row r="124" spans="1:16" x14ac:dyDescent="0.25">
      <c r="A124" t="s">
        <v>14</v>
      </c>
      <c r="B124" t="s">
        <v>93</v>
      </c>
      <c r="C124" s="13" t="s">
        <v>827</v>
      </c>
      <c r="F124" s="20">
        <f>0.1*5</f>
        <v>0.5</v>
      </c>
      <c r="G124" s="28"/>
      <c r="H124" s="29" t="s">
        <v>18</v>
      </c>
      <c r="I124" s="30" t="s">
        <v>18</v>
      </c>
      <c r="K124">
        <f>0.1*5</f>
        <v>0.5</v>
      </c>
      <c r="L124" s="18">
        <f>0.1*5</f>
        <v>0.5</v>
      </c>
      <c r="M124" t="s">
        <v>22</v>
      </c>
      <c r="N124" t="s">
        <v>439</v>
      </c>
      <c r="O124" s="2" t="s">
        <v>732</v>
      </c>
    </row>
    <row r="125" spans="1:16" x14ac:dyDescent="0.25">
      <c r="A125" t="s">
        <v>14</v>
      </c>
      <c r="B125" t="s">
        <v>93</v>
      </c>
      <c r="C125" s="13" t="s">
        <v>828</v>
      </c>
      <c r="F125" s="14">
        <f>0.05*5</f>
        <v>0.25</v>
      </c>
      <c r="H125" t="s">
        <v>18</v>
      </c>
      <c r="I125" t="s">
        <v>18</v>
      </c>
      <c r="K125" s="15">
        <f>0.05*5</f>
        <v>0.25</v>
      </c>
      <c r="M125" t="s">
        <v>22</v>
      </c>
      <c r="N125" t="s">
        <v>440</v>
      </c>
      <c r="O125" s="2" t="s">
        <v>732</v>
      </c>
    </row>
    <row r="126" spans="1:16" x14ac:dyDescent="0.25">
      <c r="A126" t="s">
        <v>14</v>
      </c>
      <c r="B126" t="s">
        <v>829</v>
      </c>
      <c r="C126" s="13"/>
      <c r="F126" s="14">
        <f>(0.067+0.068+0.069+0.07+0.071)+((0.03905+0.00015+0.000635+0.002)*5)+(0.005*5)</f>
        <v>0.57917500000000011</v>
      </c>
      <c r="K126" s="15">
        <f>(0.067+0.068+0.069+0.07+0.071)+((0.03905+0.00015+0.000635+0.002)*5)+(0.005*5)</f>
        <v>0.57917500000000011</v>
      </c>
      <c r="M126" t="s">
        <v>22</v>
      </c>
      <c r="N126" t="s">
        <v>441</v>
      </c>
      <c r="O126" s="2" t="s">
        <v>732</v>
      </c>
    </row>
    <row r="127" spans="1:16" x14ac:dyDescent="0.25">
      <c r="A127" t="s">
        <v>14</v>
      </c>
      <c r="B127" t="s">
        <v>94</v>
      </c>
      <c r="C127" s="56" t="s">
        <v>830</v>
      </c>
      <c r="D127" s="16"/>
      <c r="E127" s="16"/>
      <c r="F127" s="17">
        <v>0.25</v>
      </c>
      <c r="G127" t="s">
        <v>18</v>
      </c>
      <c r="H127" t="s">
        <v>18</v>
      </c>
      <c r="I127" t="s">
        <v>18</v>
      </c>
      <c r="K127" s="18">
        <f>0.05*5</f>
        <v>0.25</v>
      </c>
      <c r="L127">
        <v>0.25</v>
      </c>
      <c r="M127" t="s">
        <v>22</v>
      </c>
      <c r="N127" t="s">
        <v>442</v>
      </c>
      <c r="O127" s="2" t="s">
        <v>776</v>
      </c>
    </row>
    <row r="128" spans="1:16" x14ac:dyDescent="0.25">
      <c r="A128" t="s">
        <v>14</v>
      </c>
      <c r="B128" t="s">
        <v>94</v>
      </c>
      <c r="C128" s="56" t="s">
        <v>831</v>
      </c>
      <c r="D128" s="16"/>
      <c r="E128" s="16"/>
      <c r="F128" s="17">
        <v>1</v>
      </c>
      <c r="H128" t="s">
        <v>18</v>
      </c>
      <c r="I128" t="s">
        <v>18</v>
      </c>
      <c r="K128" s="18">
        <f>0.2*5</f>
        <v>1</v>
      </c>
      <c r="L128" s="19">
        <v>1</v>
      </c>
      <c r="M128" t="s">
        <v>22</v>
      </c>
      <c r="N128" t="s">
        <v>443</v>
      </c>
      <c r="O128" s="2" t="s">
        <v>833</v>
      </c>
    </row>
    <row r="129" spans="1:15" x14ac:dyDescent="0.25">
      <c r="A129" t="s">
        <v>14</v>
      </c>
      <c r="B129" t="s">
        <v>94</v>
      </c>
      <c r="C129" s="56" t="s">
        <v>832</v>
      </c>
      <c r="F129" s="20">
        <v>0.96644322500000002</v>
      </c>
      <c r="J129" s="15">
        <v>0.96644322500000002</v>
      </c>
      <c r="M129" t="s">
        <v>22</v>
      </c>
      <c r="N129" t="s">
        <v>444</v>
      </c>
      <c r="O129" s="2" t="s">
        <v>834</v>
      </c>
    </row>
    <row r="130" spans="1:15" x14ac:dyDescent="0.25">
      <c r="A130" t="s">
        <v>14</v>
      </c>
      <c r="B130" t="s">
        <v>94</v>
      </c>
      <c r="C130" t="s">
        <v>95</v>
      </c>
      <c r="F130" s="20">
        <v>33.540947107000001</v>
      </c>
      <c r="J130" s="15">
        <v>33.540947107000001</v>
      </c>
      <c r="M130" t="s">
        <v>22</v>
      </c>
      <c r="N130" t="s">
        <v>445</v>
      </c>
      <c r="O130" s="2" t="s">
        <v>835</v>
      </c>
    </row>
    <row r="131" spans="1:15" x14ac:dyDescent="0.25">
      <c r="A131" t="s">
        <v>14</v>
      </c>
      <c r="B131" t="s">
        <v>94</v>
      </c>
      <c r="C131" t="s">
        <v>96</v>
      </c>
      <c r="F131" s="20">
        <f>J131+L131</f>
        <v>2.193105343</v>
      </c>
      <c r="J131" s="15">
        <v>1.943105343</v>
      </c>
      <c r="L131">
        <v>0.25</v>
      </c>
      <c r="M131" t="s">
        <v>22</v>
      </c>
      <c r="N131" t="s">
        <v>446</v>
      </c>
      <c r="O131" s="2" t="s">
        <v>836</v>
      </c>
    </row>
    <row r="132" spans="1:15" x14ac:dyDescent="0.25">
      <c r="A132" t="s">
        <v>14</v>
      </c>
      <c r="B132" t="s">
        <v>94</v>
      </c>
      <c r="C132" t="s">
        <v>97</v>
      </c>
      <c r="F132" s="20">
        <v>4.5812609430000002</v>
      </c>
      <c r="J132" s="15">
        <v>4.5812609430000002</v>
      </c>
      <c r="M132" t="s">
        <v>22</v>
      </c>
      <c r="N132" t="s">
        <v>447</v>
      </c>
      <c r="O132" s="2" t="s">
        <v>837</v>
      </c>
    </row>
    <row r="133" spans="1:15" x14ac:dyDescent="0.25">
      <c r="A133" t="s">
        <v>14</v>
      </c>
      <c r="B133" t="s">
        <v>94</v>
      </c>
      <c r="C133" t="s">
        <v>98</v>
      </c>
      <c r="F133" s="20">
        <v>0.19282096700000001</v>
      </c>
      <c r="I133" t="s">
        <v>18</v>
      </c>
      <c r="J133" s="15">
        <v>0.19282096700000001</v>
      </c>
      <c r="M133" t="s">
        <v>22</v>
      </c>
      <c r="N133" t="s">
        <v>448</v>
      </c>
      <c r="O133" s="2" t="s">
        <v>838</v>
      </c>
    </row>
    <row r="134" spans="1:15" x14ac:dyDescent="0.25">
      <c r="A134" t="s">
        <v>14</v>
      </c>
      <c r="B134" t="s">
        <v>94</v>
      </c>
      <c r="C134" t="s">
        <v>99</v>
      </c>
      <c r="F134" s="20">
        <v>6.1978167000000001E-2</v>
      </c>
      <c r="I134" t="s">
        <v>18</v>
      </c>
      <c r="J134" s="15">
        <v>6.1978167000000001E-2</v>
      </c>
      <c r="M134" t="s">
        <v>22</v>
      </c>
      <c r="N134" t="s">
        <v>449</v>
      </c>
      <c r="O134" s="2" t="s">
        <v>839</v>
      </c>
    </row>
    <row r="135" spans="1:15" x14ac:dyDescent="0.25">
      <c r="A135" t="s">
        <v>14</v>
      </c>
      <c r="B135" t="s">
        <v>94</v>
      </c>
      <c r="C135" t="s">
        <v>100</v>
      </c>
      <c r="F135" s="20">
        <v>2.6169973999999999E-2</v>
      </c>
      <c r="J135" s="15">
        <v>2.6169973999999999E-2</v>
      </c>
      <c r="M135" t="s">
        <v>22</v>
      </c>
      <c r="N135" t="s">
        <v>450</v>
      </c>
      <c r="O135" s="2" t="s">
        <v>841</v>
      </c>
    </row>
    <row r="136" spans="1:15" x14ac:dyDescent="0.25">
      <c r="A136" t="s">
        <v>14</v>
      </c>
      <c r="B136" t="s">
        <v>94</v>
      </c>
      <c r="C136" t="s">
        <v>840</v>
      </c>
      <c r="F136" s="20">
        <v>0.69549679099999995</v>
      </c>
      <c r="J136" s="15">
        <v>0.69549679099999995</v>
      </c>
      <c r="M136" t="s">
        <v>22</v>
      </c>
      <c r="N136" t="s">
        <v>451</v>
      </c>
      <c r="O136" s="2" t="s">
        <v>842</v>
      </c>
    </row>
    <row r="137" spans="1:15" x14ac:dyDescent="0.25">
      <c r="A137" t="s">
        <v>14</v>
      </c>
      <c r="B137" t="s">
        <v>94</v>
      </c>
      <c r="C137" t="s">
        <v>101</v>
      </c>
      <c r="F137" s="20">
        <v>2.7545851999999999E-2</v>
      </c>
      <c r="J137" s="15">
        <v>2.7545851999999999E-2</v>
      </c>
      <c r="M137" t="s">
        <v>22</v>
      </c>
      <c r="N137" t="s">
        <v>452</v>
      </c>
      <c r="O137" s="2" t="s">
        <v>843</v>
      </c>
    </row>
    <row r="138" spans="1:15" x14ac:dyDescent="0.25">
      <c r="A138" t="s">
        <v>14</v>
      </c>
      <c r="B138" t="s">
        <v>94</v>
      </c>
      <c r="C138" t="s">
        <v>102</v>
      </c>
      <c r="F138" s="20">
        <f>J138+L138</f>
        <v>23.140412831999999</v>
      </c>
      <c r="J138" s="15">
        <f>(3515528226 + 3587778037 + 3680934484 + 3755675417 + 3850496668)/1000000000</f>
        <v>18.390412831999999</v>
      </c>
      <c r="L138">
        <v>4.75</v>
      </c>
      <c r="M138" t="s">
        <v>22</v>
      </c>
      <c r="N138" t="s">
        <v>453</v>
      </c>
      <c r="O138" s="2" t="s">
        <v>844</v>
      </c>
    </row>
    <row r="139" spans="1:15" x14ac:dyDescent="0.25">
      <c r="A139" t="s">
        <v>14</v>
      </c>
      <c r="B139" t="s">
        <v>94</v>
      </c>
      <c r="C139" t="s">
        <v>103</v>
      </c>
      <c r="D139" s="31" t="s">
        <v>845</v>
      </c>
      <c r="E139" s="31"/>
      <c r="F139" s="20">
        <f>J139</f>
        <v>3.1612944010000001</v>
      </c>
      <c r="J139" s="32">
        <v>3.1612944010000001</v>
      </c>
      <c r="L139" s="33"/>
      <c r="M139" t="s">
        <v>22</v>
      </c>
      <c r="N139" t="s">
        <v>454</v>
      </c>
      <c r="O139" s="2" t="s">
        <v>848</v>
      </c>
    </row>
    <row r="140" spans="1:15" x14ac:dyDescent="0.25">
      <c r="A140" t="s">
        <v>14</v>
      </c>
      <c r="B140" t="s">
        <v>94</v>
      </c>
      <c r="C140" t="s">
        <v>103</v>
      </c>
      <c r="D140" s="31" t="s">
        <v>846</v>
      </c>
      <c r="E140" s="31"/>
      <c r="F140" s="20">
        <f>J140</f>
        <v>1.9663921700000002</v>
      </c>
      <c r="I140" s="34" t="s">
        <v>18</v>
      </c>
      <c r="J140" s="18">
        <f>2.340943059-J141</f>
        <v>1.9663921700000002</v>
      </c>
      <c r="L140" s="33"/>
      <c r="M140" t="s">
        <v>22</v>
      </c>
      <c r="N140" t="s">
        <v>455</v>
      </c>
      <c r="O140" s="2" t="s">
        <v>848</v>
      </c>
    </row>
    <row r="141" spans="1:15" x14ac:dyDescent="0.25">
      <c r="A141" t="s">
        <v>14</v>
      </c>
      <c r="B141" t="s">
        <v>94</v>
      </c>
      <c r="C141" t="s">
        <v>103</v>
      </c>
      <c r="D141" s="31" t="s">
        <v>847</v>
      </c>
      <c r="E141" s="31"/>
      <c r="F141" s="20">
        <f>J141+L141</f>
        <v>5.624550889</v>
      </c>
      <c r="G141" t="s">
        <v>18</v>
      </c>
      <c r="I141" t="s">
        <v>18</v>
      </c>
      <c r="J141" s="18">
        <v>0.374550889</v>
      </c>
      <c r="L141" s="23">
        <v>5.25</v>
      </c>
      <c r="M141" t="s">
        <v>22</v>
      </c>
      <c r="N141" t="s">
        <v>456</v>
      </c>
      <c r="O141" s="2" t="s">
        <v>848</v>
      </c>
    </row>
    <row r="142" spans="1:15" x14ac:dyDescent="0.25">
      <c r="A142" t="s">
        <v>14</v>
      </c>
      <c r="B142" t="s">
        <v>94</v>
      </c>
      <c r="C142" t="s">
        <v>104</v>
      </c>
      <c r="F142" s="20">
        <v>3.878614089</v>
      </c>
      <c r="J142" s="18">
        <v>3.878614089</v>
      </c>
      <c r="M142" t="s">
        <v>22</v>
      </c>
      <c r="N142" t="s">
        <v>457</v>
      </c>
      <c r="O142" s="2" t="s">
        <v>850</v>
      </c>
    </row>
    <row r="143" spans="1:15" x14ac:dyDescent="0.25">
      <c r="A143" t="s">
        <v>14</v>
      </c>
      <c r="B143" t="s">
        <v>94</v>
      </c>
      <c r="C143" t="s">
        <v>105</v>
      </c>
      <c r="F143" s="20">
        <v>2.4102620000000002E-2</v>
      </c>
      <c r="I143" t="s">
        <v>18</v>
      </c>
      <c r="J143" s="15">
        <v>2.4102620000000002E-2</v>
      </c>
      <c r="M143" t="s">
        <v>22</v>
      </c>
      <c r="N143" t="s">
        <v>458</v>
      </c>
      <c r="O143" s="2" t="s">
        <v>851</v>
      </c>
    </row>
    <row r="144" spans="1:15" x14ac:dyDescent="0.25">
      <c r="A144" t="s">
        <v>14</v>
      </c>
      <c r="B144" t="s">
        <v>94</v>
      </c>
      <c r="C144" t="s">
        <v>106</v>
      </c>
      <c r="F144" s="20">
        <v>6.8864630999999996E-2</v>
      </c>
      <c r="I144" t="s">
        <v>18</v>
      </c>
      <c r="J144" s="18">
        <v>6.8864630999999996E-2</v>
      </c>
      <c r="M144" t="s">
        <v>22</v>
      </c>
      <c r="N144" t="s">
        <v>459</v>
      </c>
      <c r="O144" s="2" t="s">
        <v>852</v>
      </c>
    </row>
    <row r="145" spans="1:16" s="3" customFormat="1" x14ac:dyDescent="0.25">
      <c r="A145" s="23" t="s">
        <v>14</v>
      </c>
      <c r="B145" s="23" t="s">
        <v>94</v>
      </c>
      <c r="C145" s="23" t="s">
        <v>849</v>
      </c>
      <c r="D145" s="23"/>
      <c r="E145" s="23"/>
      <c r="F145" s="21"/>
      <c r="G145" s="23"/>
      <c r="H145" s="23"/>
      <c r="I145" s="23"/>
      <c r="J145" s="23"/>
      <c r="K145" s="35">
        <f>3*5</f>
        <v>15</v>
      </c>
      <c r="L145" s="23"/>
      <c r="M145" s="23" t="s">
        <v>22</v>
      </c>
      <c r="N145" t="s">
        <v>460</v>
      </c>
      <c r="O145" s="3" t="s">
        <v>853</v>
      </c>
    </row>
    <row r="146" spans="1:16" x14ac:dyDescent="0.25">
      <c r="A146" t="s">
        <v>14</v>
      </c>
      <c r="B146" t="s">
        <v>94</v>
      </c>
      <c r="C146" s="23" t="s">
        <v>849</v>
      </c>
      <c r="D146" t="s">
        <v>107</v>
      </c>
      <c r="F146">
        <f>4.4</f>
        <v>4.4000000000000004</v>
      </c>
      <c r="I146" t="s">
        <v>18</v>
      </c>
      <c r="K146" s="18"/>
      <c r="L146">
        <f>4.4</f>
        <v>4.4000000000000004</v>
      </c>
      <c r="M146" t="s">
        <v>22</v>
      </c>
      <c r="N146" t="s">
        <v>461</v>
      </c>
      <c r="O146" s="3" t="s">
        <v>853</v>
      </c>
    </row>
    <row r="147" spans="1:16" x14ac:dyDescent="0.25">
      <c r="A147" t="s">
        <v>14</v>
      </c>
      <c r="B147" t="s">
        <v>94</v>
      </c>
      <c r="C147" s="23" t="s">
        <v>849</v>
      </c>
      <c r="D147" t="s">
        <v>108</v>
      </c>
      <c r="F147">
        <f>1.6</f>
        <v>1.6</v>
      </c>
      <c r="I147" t="s">
        <v>18</v>
      </c>
      <c r="K147" s="18"/>
      <c r="L147">
        <f>1.6</f>
        <v>1.6</v>
      </c>
      <c r="M147" t="s">
        <v>22</v>
      </c>
      <c r="N147" t="s">
        <v>462</v>
      </c>
      <c r="O147" s="3" t="s">
        <v>853</v>
      </c>
    </row>
    <row r="148" spans="1:16" x14ac:dyDescent="0.25">
      <c r="A148" t="s">
        <v>14</v>
      </c>
      <c r="B148" t="s">
        <v>94</v>
      </c>
      <c r="C148" s="23" t="s">
        <v>849</v>
      </c>
      <c r="D148" t="s">
        <v>109</v>
      </c>
      <c r="F148">
        <v>1.2</v>
      </c>
      <c r="I148" t="s">
        <v>18</v>
      </c>
      <c r="K148" s="18"/>
      <c r="L148">
        <v>1.2</v>
      </c>
      <c r="M148" t="s">
        <v>22</v>
      </c>
      <c r="N148" t="s">
        <v>463</v>
      </c>
      <c r="O148" s="3" t="s">
        <v>853</v>
      </c>
    </row>
    <row r="149" spans="1:16" x14ac:dyDescent="0.25">
      <c r="A149" t="s">
        <v>14</v>
      </c>
      <c r="B149" t="s">
        <v>94</v>
      </c>
      <c r="C149" s="23" t="s">
        <v>849</v>
      </c>
      <c r="D149" t="s">
        <v>110</v>
      </c>
      <c r="F149">
        <v>0.8</v>
      </c>
      <c r="I149" t="s">
        <v>18</v>
      </c>
      <c r="K149" s="18"/>
      <c r="L149">
        <v>0.8</v>
      </c>
      <c r="M149" t="s">
        <v>22</v>
      </c>
      <c r="N149" t="s">
        <v>464</v>
      </c>
      <c r="O149" s="3" t="s">
        <v>854</v>
      </c>
    </row>
    <row r="150" spans="1:16" x14ac:dyDescent="0.25">
      <c r="A150" t="s">
        <v>14</v>
      </c>
      <c r="B150" t="s">
        <v>94</v>
      </c>
      <c r="C150" s="56" t="s">
        <v>855</v>
      </c>
      <c r="F150" s="20">
        <f>0.15*5</f>
        <v>0.75</v>
      </c>
      <c r="J150" s="15"/>
      <c r="K150" s="15">
        <f>0.15*5</f>
        <v>0.75</v>
      </c>
      <c r="M150" t="s">
        <v>111</v>
      </c>
      <c r="N150" t="s">
        <v>465</v>
      </c>
      <c r="O150" s="2" t="s">
        <v>732</v>
      </c>
    </row>
    <row r="151" spans="1:16" s="4" customFormat="1" x14ac:dyDescent="0.25">
      <c r="A151" t="s">
        <v>14</v>
      </c>
      <c r="B151" t="s">
        <v>94</v>
      </c>
      <c r="C151" s="36" t="s">
        <v>112</v>
      </c>
      <c r="D151" s="26"/>
      <c r="E151" s="26"/>
      <c r="F151" s="37">
        <v>1.75</v>
      </c>
      <c r="G151" s="26"/>
      <c r="H151" s="26"/>
      <c r="I151" s="26" t="s">
        <v>18</v>
      </c>
      <c r="J151" s="38"/>
      <c r="K151" s="26"/>
      <c r="L151" s="26">
        <v>1.75</v>
      </c>
      <c r="M151" t="s">
        <v>22</v>
      </c>
      <c r="N151" t="s">
        <v>466</v>
      </c>
      <c r="O151" s="4" t="s">
        <v>859</v>
      </c>
    </row>
    <row r="152" spans="1:16" x14ac:dyDescent="0.25">
      <c r="A152" t="s">
        <v>14</v>
      </c>
      <c r="B152" t="s">
        <v>113</v>
      </c>
      <c r="C152" t="s">
        <v>856</v>
      </c>
      <c r="F152" s="39">
        <v>2.5000000000000001E-2</v>
      </c>
      <c r="L152" s="39">
        <v>2.5000000000000001E-2</v>
      </c>
      <c r="M152" t="s">
        <v>22</v>
      </c>
      <c r="N152" t="s">
        <v>467</v>
      </c>
      <c r="O152" s="2" t="s">
        <v>860</v>
      </c>
    </row>
    <row r="153" spans="1:16" x14ac:dyDescent="0.25">
      <c r="A153" t="s">
        <v>14</v>
      </c>
      <c r="B153" t="s">
        <v>113</v>
      </c>
      <c r="C153" t="s">
        <v>857</v>
      </c>
      <c r="F153" s="39">
        <v>2.25</v>
      </c>
      <c r="L153" s="39">
        <v>2.25</v>
      </c>
      <c r="M153" t="s">
        <v>22</v>
      </c>
      <c r="N153" t="s">
        <v>468</v>
      </c>
      <c r="O153" s="2" t="s">
        <v>861</v>
      </c>
    </row>
    <row r="154" spans="1:16" x14ac:dyDescent="0.25">
      <c r="A154" t="s">
        <v>14</v>
      </c>
      <c r="B154" t="s">
        <v>113</v>
      </c>
      <c r="C154" s="13" t="s">
        <v>858</v>
      </c>
      <c r="F154" s="17">
        <v>7.4999999999999997E-2</v>
      </c>
      <c r="K154" s="15"/>
      <c r="L154">
        <v>7.4999999999999997E-2</v>
      </c>
      <c r="M154" t="s">
        <v>114</v>
      </c>
      <c r="N154" t="s">
        <v>469</v>
      </c>
      <c r="O154" s="2" t="s">
        <v>862</v>
      </c>
      <c r="P154" s="2" t="s">
        <v>812</v>
      </c>
    </row>
    <row r="155" spans="1:16" x14ac:dyDescent="0.25">
      <c r="A155" t="s">
        <v>14</v>
      </c>
      <c r="B155" t="s">
        <v>113</v>
      </c>
      <c r="C155" s="13" t="s">
        <v>863</v>
      </c>
      <c r="F155" s="17">
        <v>1.5</v>
      </c>
      <c r="K155" s="15"/>
      <c r="L155">
        <v>1.5</v>
      </c>
      <c r="M155" t="s">
        <v>114</v>
      </c>
      <c r="N155" t="s">
        <v>470</v>
      </c>
      <c r="O155" s="2" t="s">
        <v>870</v>
      </c>
    </row>
    <row r="156" spans="1:16" x14ac:dyDescent="0.25">
      <c r="A156" t="s">
        <v>14</v>
      </c>
      <c r="B156" t="s">
        <v>113</v>
      </c>
      <c r="C156" s="56" t="s">
        <v>864</v>
      </c>
      <c r="F156" s="17">
        <v>2.5</v>
      </c>
      <c r="K156" s="15"/>
      <c r="L156">
        <v>2.5</v>
      </c>
      <c r="M156" t="s">
        <v>114</v>
      </c>
      <c r="N156" t="s">
        <v>471</v>
      </c>
      <c r="O156" s="2" t="s">
        <v>871</v>
      </c>
    </row>
    <row r="157" spans="1:16" x14ac:dyDescent="0.25">
      <c r="A157" t="s">
        <v>14</v>
      </c>
      <c r="B157" t="s">
        <v>113</v>
      </c>
      <c r="C157" s="56" t="s">
        <v>865</v>
      </c>
      <c r="F157" s="14">
        <v>0.80800000000000005</v>
      </c>
      <c r="K157" s="15"/>
      <c r="L157" s="15">
        <v>0.80800000000000005</v>
      </c>
      <c r="M157" t="s">
        <v>114</v>
      </c>
      <c r="N157" t="s">
        <v>472</v>
      </c>
      <c r="O157" s="2" t="s">
        <v>872</v>
      </c>
    </row>
    <row r="158" spans="1:16" x14ac:dyDescent="0.25">
      <c r="A158" t="s">
        <v>14</v>
      </c>
      <c r="B158" t="s">
        <v>113</v>
      </c>
      <c r="C158" s="56" t="s">
        <v>866</v>
      </c>
      <c r="F158" s="14">
        <v>4</v>
      </c>
      <c r="K158" s="15"/>
      <c r="L158" s="15">
        <v>4</v>
      </c>
      <c r="M158" t="s">
        <v>114</v>
      </c>
      <c r="N158" t="s">
        <v>473</v>
      </c>
      <c r="O158" s="2" t="s">
        <v>872</v>
      </c>
    </row>
    <row r="159" spans="1:16" x14ac:dyDescent="0.25">
      <c r="A159" t="s">
        <v>14</v>
      </c>
      <c r="B159" t="s">
        <v>113</v>
      </c>
      <c r="C159" s="56" t="s">
        <v>867</v>
      </c>
      <c r="F159" s="14">
        <v>0.16</v>
      </c>
      <c r="K159" s="15"/>
      <c r="L159" s="15">
        <v>0.16</v>
      </c>
      <c r="M159" t="s">
        <v>114</v>
      </c>
      <c r="N159" t="s">
        <v>474</v>
      </c>
      <c r="O159" s="2" t="s">
        <v>872</v>
      </c>
    </row>
    <row r="160" spans="1:16" x14ac:dyDescent="0.25">
      <c r="A160" t="s">
        <v>14</v>
      </c>
      <c r="B160" t="s">
        <v>113</v>
      </c>
      <c r="C160" s="13" t="s">
        <v>868</v>
      </c>
      <c r="F160" s="14">
        <v>0.04</v>
      </c>
      <c r="K160" s="15"/>
      <c r="L160" s="15">
        <v>0.04</v>
      </c>
      <c r="M160" t="s">
        <v>114</v>
      </c>
      <c r="N160" t="s">
        <v>475</v>
      </c>
      <c r="O160" s="2" t="s">
        <v>872</v>
      </c>
    </row>
    <row r="161" spans="1:15" x14ac:dyDescent="0.25">
      <c r="A161" s="13" t="s">
        <v>115</v>
      </c>
      <c r="B161" t="s">
        <v>116</v>
      </c>
      <c r="C161" s="26" t="s">
        <v>869</v>
      </c>
      <c r="D161" s="26"/>
      <c r="E161" s="13"/>
      <c r="F161" s="17">
        <v>5</v>
      </c>
      <c r="G161" t="s">
        <v>18</v>
      </c>
      <c r="H161" t="s">
        <v>18</v>
      </c>
      <c r="I161" t="s">
        <v>18</v>
      </c>
      <c r="K161">
        <v>5</v>
      </c>
      <c r="L161">
        <v>5</v>
      </c>
      <c r="M161" t="s">
        <v>117</v>
      </c>
      <c r="N161" t="s">
        <v>476</v>
      </c>
      <c r="O161" s="2" t="s">
        <v>871</v>
      </c>
    </row>
    <row r="162" spans="1:15" x14ac:dyDescent="0.25">
      <c r="A162" s="13" t="s">
        <v>115</v>
      </c>
      <c r="B162" t="s">
        <v>116</v>
      </c>
      <c r="C162" t="s">
        <v>118</v>
      </c>
      <c r="F162" s="17">
        <f>K162</f>
        <v>2.5499999999999998</v>
      </c>
      <c r="H162" t="s">
        <v>18</v>
      </c>
      <c r="I162" t="s">
        <v>18</v>
      </c>
      <c r="K162">
        <f>0.01*5+2.5</f>
        <v>2.5499999999999998</v>
      </c>
      <c r="L162">
        <f>0.01*5</f>
        <v>0.05</v>
      </c>
      <c r="M162" t="s">
        <v>117</v>
      </c>
      <c r="N162" t="s">
        <v>477</v>
      </c>
      <c r="O162" s="2" t="s">
        <v>873</v>
      </c>
    </row>
    <row r="163" spans="1:15" x14ac:dyDescent="0.25">
      <c r="A163" s="13" t="s">
        <v>115</v>
      </c>
      <c r="B163" t="s">
        <v>116</v>
      </c>
      <c r="C163" t="s">
        <v>874</v>
      </c>
      <c r="F163" s="17">
        <v>3</v>
      </c>
      <c r="I163" t="s">
        <v>18</v>
      </c>
      <c r="K163">
        <v>3</v>
      </c>
      <c r="L163">
        <v>3</v>
      </c>
      <c r="M163" t="s">
        <v>117</v>
      </c>
      <c r="N163" t="s">
        <v>478</v>
      </c>
      <c r="O163" s="2" t="s">
        <v>877</v>
      </c>
    </row>
    <row r="164" spans="1:15" x14ac:dyDescent="0.25">
      <c r="A164" s="13" t="s">
        <v>115</v>
      </c>
      <c r="B164" t="s">
        <v>116</v>
      </c>
      <c r="C164" s="56" t="s">
        <v>875</v>
      </c>
      <c r="D164" s="13"/>
      <c r="E164" s="13"/>
      <c r="F164" s="17">
        <f>MAX(K164,L164)</f>
        <v>0.5</v>
      </c>
      <c r="L164" s="15">
        <v>0.5</v>
      </c>
      <c r="M164" t="s">
        <v>119</v>
      </c>
      <c r="N164" t="s">
        <v>479</v>
      </c>
      <c r="O164" s="2" t="s">
        <v>878</v>
      </c>
    </row>
    <row r="165" spans="1:15" x14ac:dyDescent="0.25">
      <c r="A165" s="13" t="s">
        <v>115</v>
      </c>
      <c r="B165" t="s">
        <v>116</v>
      </c>
      <c r="C165" s="13" t="s">
        <v>120</v>
      </c>
      <c r="D165" s="13"/>
      <c r="E165" s="13"/>
      <c r="F165" s="14">
        <v>5</v>
      </c>
      <c r="G165" t="s">
        <v>18</v>
      </c>
      <c r="H165" t="s">
        <v>18</v>
      </c>
      <c r="I165" t="s">
        <v>18</v>
      </c>
      <c r="K165" s="15">
        <v>5</v>
      </c>
      <c r="L165" s="15">
        <v>5</v>
      </c>
      <c r="M165" t="s">
        <v>121</v>
      </c>
      <c r="N165" t="s">
        <v>480</v>
      </c>
      <c r="O165" s="2" t="s">
        <v>879</v>
      </c>
    </row>
    <row r="166" spans="1:15" x14ac:dyDescent="0.25">
      <c r="A166" s="13" t="s">
        <v>115</v>
      </c>
      <c r="B166" t="s">
        <v>116</v>
      </c>
      <c r="C166" s="56" t="s">
        <v>122</v>
      </c>
      <c r="D166" s="13"/>
      <c r="E166" s="13"/>
      <c r="F166" s="17">
        <v>1</v>
      </c>
      <c r="H166" t="s">
        <v>18</v>
      </c>
      <c r="K166">
        <v>1</v>
      </c>
      <c r="L166">
        <v>1</v>
      </c>
      <c r="M166" t="s">
        <v>121</v>
      </c>
      <c r="N166" t="s">
        <v>481</v>
      </c>
      <c r="O166" s="2" t="s">
        <v>879</v>
      </c>
    </row>
    <row r="167" spans="1:15" x14ac:dyDescent="0.25">
      <c r="A167" s="13" t="s">
        <v>115</v>
      </c>
      <c r="B167" t="s">
        <v>116</v>
      </c>
      <c r="C167" t="s">
        <v>123</v>
      </c>
      <c r="F167" s="14">
        <v>0.5</v>
      </c>
      <c r="G167" t="s">
        <v>18</v>
      </c>
      <c r="K167" s="15">
        <v>0.5</v>
      </c>
      <c r="L167" s="15">
        <v>0.5</v>
      </c>
      <c r="M167" t="s">
        <v>117</v>
      </c>
      <c r="N167" t="s">
        <v>482</v>
      </c>
      <c r="O167" s="2" t="s">
        <v>880</v>
      </c>
    </row>
    <row r="168" spans="1:15" x14ac:dyDescent="0.25">
      <c r="A168" s="13" t="s">
        <v>115</v>
      </c>
      <c r="B168" t="s">
        <v>116</v>
      </c>
      <c r="C168" s="56" t="s">
        <v>876</v>
      </c>
      <c r="F168" s="20">
        <v>10</v>
      </c>
      <c r="K168" s="18">
        <v>10</v>
      </c>
      <c r="L168" s="18"/>
      <c r="M168" t="s">
        <v>124</v>
      </c>
      <c r="N168" t="s">
        <v>483</v>
      </c>
      <c r="O168" s="2" t="s">
        <v>881</v>
      </c>
    </row>
    <row r="169" spans="1:15" x14ac:dyDescent="0.25">
      <c r="A169" s="13" t="s">
        <v>115</v>
      </c>
      <c r="B169" t="s">
        <v>116</v>
      </c>
      <c r="C169" s="56" t="s">
        <v>882</v>
      </c>
      <c r="F169" s="20">
        <f>K169</f>
        <v>1.1100000000000001</v>
      </c>
      <c r="G169" t="s">
        <v>18</v>
      </c>
      <c r="K169">
        <f>0.11+1</f>
        <v>1.1100000000000001</v>
      </c>
      <c r="M169" t="s">
        <v>124</v>
      </c>
      <c r="N169" t="s">
        <v>484</v>
      </c>
      <c r="O169" s="2" t="s">
        <v>886</v>
      </c>
    </row>
    <row r="170" spans="1:15" x14ac:dyDescent="0.25">
      <c r="A170" s="13" t="s">
        <v>115</v>
      </c>
      <c r="B170" t="s">
        <v>116</v>
      </c>
      <c r="C170" s="56" t="s">
        <v>883</v>
      </c>
      <c r="D170" s="16"/>
      <c r="E170" s="16"/>
      <c r="F170" s="14">
        <f>0.25</f>
        <v>0.25</v>
      </c>
      <c r="H170" t="s">
        <v>18</v>
      </c>
      <c r="K170" s="15">
        <f>0.25</f>
        <v>0.25</v>
      </c>
      <c r="L170" s="15">
        <f>0.25</f>
        <v>0.25</v>
      </c>
      <c r="M170" t="s">
        <v>125</v>
      </c>
      <c r="N170" t="s">
        <v>485</v>
      </c>
      <c r="O170" s="2" t="s">
        <v>887</v>
      </c>
    </row>
    <row r="171" spans="1:15" x14ac:dyDescent="0.25">
      <c r="A171" s="13" t="s">
        <v>115</v>
      </c>
      <c r="B171" t="s">
        <v>116</v>
      </c>
      <c r="C171" s="56" t="s">
        <v>126</v>
      </c>
      <c r="D171" s="16"/>
      <c r="E171" s="16"/>
      <c r="F171" s="14">
        <f>0.05</f>
        <v>0.05</v>
      </c>
      <c r="H171" t="s">
        <v>18</v>
      </c>
      <c r="K171" s="15">
        <f>0.05</f>
        <v>0.05</v>
      </c>
      <c r="L171" s="15">
        <f>0.05</f>
        <v>0.05</v>
      </c>
      <c r="M171" t="s">
        <v>125</v>
      </c>
      <c r="N171" t="s">
        <v>486</v>
      </c>
      <c r="O171" s="2" t="s">
        <v>888</v>
      </c>
    </row>
    <row r="172" spans="1:15" x14ac:dyDescent="0.25">
      <c r="A172" s="13" t="s">
        <v>115</v>
      </c>
      <c r="B172" t="s">
        <v>116</v>
      </c>
      <c r="C172" s="56" t="s">
        <v>884</v>
      </c>
      <c r="D172" s="16"/>
      <c r="E172" s="16"/>
      <c r="F172" s="14">
        <v>0.25</v>
      </c>
      <c r="H172" t="s">
        <v>18</v>
      </c>
      <c r="I172" t="s">
        <v>18</v>
      </c>
      <c r="K172" s="15">
        <v>0.25</v>
      </c>
      <c r="L172" s="15">
        <v>0.25</v>
      </c>
      <c r="M172" t="s">
        <v>117</v>
      </c>
      <c r="N172" t="s">
        <v>487</v>
      </c>
      <c r="O172" s="2" t="s">
        <v>889</v>
      </c>
    </row>
    <row r="173" spans="1:15" x14ac:dyDescent="0.25">
      <c r="A173" s="13" t="s">
        <v>115</v>
      </c>
      <c r="B173" t="s">
        <v>116</v>
      </c>
      <c r="C173" s="56" t="s">
        <v>885</v>
      </c>
      <c r="D173" s="16"/>
      <c r="E173" s="16"/>
      <c r="F173" s="17">
        <v>0.05</v>
      </c>
      <c r="G173" t="s">
        <v>18</v>
      </c>
      <c r="H173" t="s">
        <v>18</v>
      </c>
      <c r="K173" s="17">
        <v>0.05</v>
      </c>
      <c r="L173" s="17">
        <v>0.05</v>
      </c>
      <c r="M173" t="s">
        <v>127</v>
      </c>
      <c r="N173" t="s">
        <v>488</v>
      </c>
      <c r="O173" s="2" t="s">
        <v>889</v>
      </c>
    </row>
    <row r="174" spans="1:15" x14ac:dyDescent="0.25">
      <c r="A174" s="13" t="s">
        <v>115</v>
      </c>
      <c r="B174" t="s">
        <v>128</v>
      </c>
      <c r="C174" s="56" t="s">
        <v>129</v>
      </c>
      <c r="F174" s="14">
        <v>0.32</v>
      </c>
      <c r="H174" t="s">
        <v>18</v>
      </c>
      <c r="K174" s="15">
        <v>0.32</v>
      </c>
      <c r="L174" s="15">
        <v>0.32</v>
      </c>
      <c r="M174" t="s">
        <v>130</v>
      </c>
      <c r="N174" t="s">
        <v>489</v>
      </c>
      <c r="O174" s="2" t="s">
        <v>890</v>
      </c>
    </row>
    <row r="175" spans="1:15" x14ac:dyDescent="0.25">
      <c r="A175" s="13" t="s">
        <v>115</v>
      </c>
      <c r="B175" t="s">
        <v>128</v>
      </c>
      <c r="C175" s="56" t="s">
        <v>131</v>
      </c>
      <c r="F175" s="14">
        <f>(2031-2023) * 0.064</f>
        <v>0.51200000000000001</v>
      </c>
      <c r="G175" t="s">
        <v>18</v>
      </c>
      <c r="K175" s="15">
        <f>(2031-2023) * 0.064</f>
        <v>0.51200000000000001</v>
      </c>
      <c r="M175" t="s">
        <v>130</v>
      </c>
      <c r="N175" t="s">
        <v>490</v>
      </c>
      <c r="O175" s="2" t="s">
        <v>891</v>
      </c>
    </row>
    <row r="176" spans="1:15" x14ac:dyDescent="0.25">
      <c r="A176" s="13" t="s">
        <v>115</v>
      </c>
      <c r="B176" t="s">
        <v>128</v>
      </c>
      <c r="C176" s="56" t="s">
        <v>892</v>
      </c>
      <c r="F176" s="14">
        <v>0.16700000000000001</v>
      </c>
      <c r="H176" t="s">
        <v>18</v>
      </c>
      <c r="K176" s="15">
        <v>0.16700000000000001</v>
      </c>
      <c r="L176" s="15">
        <v>0.16700000000000001</v>
      </c>
      <c r="M176" t="s">
        <v>130</v>
      </c>
      <c r="N176" t="s">
        <v>491</v>
      </c>
      <c r="O176" s="2" t="s">
        <v>842</v>
      </c>
    </row>
    <row r="177" spans="1:15" x14ac:dyDescent="0.25">
      <c r="A177" s="13" t="s">
        <v>115</v>
      </c>
      <c r="B177" t="s">
        <v>128</v>
      </c>
      <c r="C177" s="56" t="s">
        <v>893</v>
      </c>
      <c r="F177" s="14">
        <v>0.14000000000000001</v>
      </c>
      <c r="H177" t="s">
        <v>18</v>
      </c>
      <c r="K177" s="15">
        <v>0.14000000000000001</v>
      </c>
      <c r="L177" s="15">
        <v>0.14000000000000001</v>
      </c>
      <c r="M177" t="s">
        <v>117</v>
      </c>
      <c r="N177" t="s">
        <v>492</v>
      </c>
      <c r="O177" s="2" t="s">
        <v>897</v>
      </c>
    </row>
    <row r="178" spans="1:15" x14ac:dyDescent="0.25">
      <c r="A178" s="13" t="s">
        <v>115</v>
      </c>
      <c r="B178" t="s">
        <v>128</v>
      </c>
      <c r="C178" s="13" t="s">
        <v>894</v>
      </c>
      <c r="D178" s="56" t="s">
        <v>895</v>
      </c>
      <c r="E178" s="13"/>
      <c r="F178" s="14">
        <v>3</v>
      </c>
      <c r="G178" t="s">
        <v>18</v>
      </c>
      <c r="H178" t="s">
        <v>18</v>
      </c>
      <c r="I178" t="s">
        <v>18</v>
      </c>
      <c r="K178" s="15">
        <v>3</v>
      </c>
      <c r="L178" s="15">
        <v>3</v>
      </c>
      <c r="M178" t="s">
        <v>117</v>
      </c>
      <c r="N178" t="s">
        <v>493</v>
      </c>
      <c r="O178" s="2" t="s">
        <v>898</v>
      </c>
    </row>
    <row r="179" spans="1:15" x14ac:dyDescent="0.25">
      <c r="A179" s="13" t="s">
        <v>115</v>
      </c>
      <c r="B179" t="s">
        <v>128</v>
      </c>
      <c r="C179" s="13" t="s">
        <v>894</v>
      </c>
      <c r="D179" s="56" t="s">
        <v>896</v>
      </c>
      <c r="E179" s="13"/>
      <c r="F179" s="14">
        <v>3</v>
      </c>
      <c r="G179" t="s">
        <v>18</v>
      </c>
      <c r="H179" t="s">
        <v>18</v>
      </c>
      <c r="I179" t="s">
        <v>18</v>
      </c>
      <c r="K179" s="15">
        <v>3</v>
      </c>
      <c r="L179" s="15">
        <v>3</v>
      </c>
      <c r="M179" t="s">
        <v>117</v>
      </c>
      <c r="N179" t="s">
        <v>494</v>
      </c>
      <c r="O179" s="2" t="s">
        <v>898</v>
      </c>
    </row>
    <row r="180" spans="1:15" x14ac:dyDescent="0.25">
      <c r="A180" s="13" t="s">
        <v>115</v>
      </c>
      <c r="B180" t="s">
        <v>128</v>
      </c>
      <c r="C180" s="13" t="s">
        <v>894</v>
      </c>
      <c r="D180" s="56" t="s">
        <v>132</v>
      </c>
      <c r="E180" s="13"/>
      <c r="F180" s="14">
        <v>0.01</v>
      </c>
      <c r="G180" t="s">
        <v>18</v>
      </c>
      <c r="H180" t="s">
        <v>18</v>
      </c>
      <c r="I180" t="s">
        <v>18</v>
      </c>
      <c r="K180" s="15">
        <v>0.01</v>
      </c>
      <c r="L180" s="15">
        <v>0.01</v>
      </c>
      <c r="M180" t="s">
        <v>117</v>
      </c>
      <c r="N180" t="s">
        <v>495</v>
      </c>
      <c r="O180" s="2" t="s">
        <v>899</v>
      </c>
    </row>
    <row r="181" spans="1:15" x14ac:dyDescent="0.25">
      <c r="A181" s="13" t="s">
        <v>115</v>
      </c>
      <c r="B181" t="s">
        <v>128</v>
      </c>
      <c r="C181" s="13" t="s">
        <v>894</v>
      </c>
      <c r="D181" s="56" t="s">
        <v>900</v>
      </c>
      <c r="E181" s="13"/>
      <c r="F181" s="14">
        <v>0.06</v>
      </c>
      <c r="G181" t="s">
        <v>18</v>
      </c>
      <c r="H181" t="s">
        <v>18</v>
      </c>
      <c r="K181" s="15">
        <v>0.06</v>
      </c>
      <c r="L181" s="15">
        <v>0.06</v>
      </c>
      <c r="M181" t="s">
        <v>117</v>
      </c>
      <c r="N181" t="s">
        <v>496</v>
      </c>
      <c r="O181" s="2" t="s">
        <v>906</v>
      </c>
    </row>
    <row r="182" spans="1:15" x14ac:dyDescent="0.25">
      <c r="A182" s="13" t="s">
        <v>115</v>
      </c>
      <c r="B182" t="s">
        <v>128</v>
      </c>
      <c r="C182" s="13" t="s">
        <v>894</v>
      </c>
      <c r="D182" s="56" t="s">
        <v>901</v>
      </c>
      <c r="E182" s="13"/>
      <c r="F182" s="14">
        <v>0.05</v>
      </c>
      <c r="G182" t="s">
        <v>18</v>
      </c>
      <c r="H182" t="s">
        <v>18</v>
      </c>
      <c r="I182" t="s">
        <v>18</v>
      </c>
      <c r="K182" s="15">
        <v>0.05</v>
      </c>
      <c r="L182" s="15">
        <v>0.05</v>
      </c>
      <c r="M182" t="s">
        <v>117</v>
      </c>
      <c r="N182" t="s">
        <v>497</v>
      </c>
      <c r="O182" s="2" t="s">
        <v>906</v>
      </c>
    </row>
    <row r="183" spans="1:15" x14ac:dyDescent="0.25">
      <c r="A183" s="13" t="s">
        <v>115</v>
      </c>
      <c r="B183" t="s">
        <v>128</v>
      </c>
      <c r="C183" s="13" t="s">
        <v>894</v>
      </c>
      <c r="D183" s="56" t="s">
        <v>902</v>
      </c>
      <c r="E183" s="13"/>
      <c r="F183" s="14">
        <v>1.4999999999999999E-2</v>
      </c>
      <c r="G183" t="s">
        <v>18</v>
      </c>
      <c r="H183" t="s">
        <v>18</v>
      </c>
      <c r="I183" t="s">
        <v>18</v>
      </c>
      <c r="K183" s="15">
        <v>1.4999999999999999E-2</v>
      </c>
      <c r="L183" s="15">
        <v>1.4999999999999999E-2</v>
      </c>
      <c r="M183" t="s">
        <v>117</v>
      </c>
      <c r="N183" t="s">
        <v>498</v>
      </c>
      <c r="O183" s="2" t="s">
        <v>842</v>
      </c>
    </row>
    <row r="184" spans="1:15" x14ac:dyDescent="0.25">
      <c r="A184" s="13" t="s">
        <v>115</v>
      </c>
      <c r="B184" t="s">
        <v>128</v>
      </c>
      <c r="C184" s="56" t="s">
        <v>903</v>
      </c>
      <c r="F184" s="14">
        <v>0.2</v>
      </c>
      <c r="G184" t="s">
        <v>18</v>
      </c>
      <c r="H184" t="s">
        <v>18</v>
      </c>
      <c r="I184" t="s">
        <v>18</v>
      </c>
      <c r="K184" s="15">
        <v>0.2</v>
      </c>
      <c r="L184" s="15">
        <v>0.2</v>
      </c>
      <c r="M184" t="s">
        <v>117</v>
      </c>
      <c r="N184" t="s">
        <v>499</v>
      </c>
      <c r="O184" s="2" t="s">
        <v>907</v>
      </c>
    </row>
    <row r="185" spans="1:15" x14ac:dyDescent="0.25">
      <c r="A185" s="13" t="s">
        <v>115</v>
      </c>
      <c r="B185" t="s">
        <v>128</v>
      </c>
      <c r="C185" s="56" t="s">
        <v>904</v>
      </c>
      <c r="F185" s="14">
        <v>0.75</v>
      </c>
      <c r="G185" t="s">
        <v>18</v>
      </c>
      <c r="H185" t="s">
        <v>18</v>
      </c>
      <c r="I185" t="s">
        <v>18</v>
      </c>
      <c r="K185" s="15">
        <v>0.75</v>
      </c>
      <c r="L185" s="15">
        <v>0.75</v>
      </c>
      <c r="M185" t="s">
        <v>117</v>
      </c>
      <c r="N185" t="s">
        <v>500</v>
      </c>
      <c r="O185" s="2" t="s">
        <v>907</v>
      </c>
    </row>
    <row r="186" spans="1:15" x14ac:dyDescent="0.25">
      <c r="A186" s="13" t="s">
        <v>115</v>
      </c>
      <c r="B186" t="s">
        <v>128</v>
      </c>
      <c r="C186" s="56" t="s">
        <v>905</v>
      </c>
      <c r="F186" s="14">
        <f>0.1 *4</f>
        <v>0.4</v>
      </c>
      <c r="G186" t="s">
        <v>18</v>
      </c>
      <c r="H186" t="s">
        <v>18</v>
      </c>
      <c r="I186" t="s">
        <v>18</v>
      </c>
      <c r="K186" s="15">
        <f>0.1 *4</f>
        <v>0.4</v>
      </c>
      <c r="L186" s="15"/>
      <c r="M186" t="s">
        <v>117</v>
      </c>
      <c r="N186" t="s">
        <v>501</v>
      </c>
      <c r="O186" s="2" t="s">
        <v>906</v>
      </c>
    </row>
    <row r="187" spans="1:15" x14ac:dyDescent="0.25">
      <c r="A187" s="13" t="s">
        <v>115</v>
      </c>
      <c r="B187" t="s">
        <v>133</v>
      </c>
      <c r="C187" s="56" t="s">
        <v>908</v>
      </c>
      <c r="F187" s="17">
        <v>1</v>
      </c>
      <c r="G187" t="s">
        <v>18</v>
      </c>
      <c r="H187" t="s">
        <v>18</v>
      </c>
      <c r="I187" t="s">
        <v>18</v>
      </c>
      <c r="K187" s="15"/>
      <c r="L187" s="19">
        <v>1</v>
      </c>
      <c r="M187" s="16" t="s">
        <v>134</v>
      </c>
      <c r="N187" t="s">
        <v>502</v>
      </c>
      <c r="O187" s="2" t="s">
        <v>912</v>
      </c>
    </row>
    <row r="188" spans="1:15" x14ac:dyDescent="0.25">
      <c r="A188" s="13" t="s">
        <v>115</v>
      </c>
      <c r="B188" t="s">
        <v>133</v>
      </c>
      <c r="C188" s="13" t="s">
        <v>135</v>
      </c>
      <c r="D188" s="56" t="s">
        <v>909</v>
      </c>
      <c r="E188" s="13"/>
      <c r="F188" s="14">
        <f>0.041 + 0.06525 + 0.0665625 + 0.06794625 + 0.069387656</f>
        <v>0.31014640600000004</v>
      </c>
      <c r="G188" t="s">
        <v>18</v>
      </c>
      <c r="H188" t="s">
        <v>18</v>
      </c>
      <c r="I188" t="s">
        <v>18</v>
      </c>
      <c r="K188" s="15">
        <f>0.041 + 0.06525 + 0.0665625 + 0.06794625 + 0.069387656</f>
        <v>0.31014640600000004</v>
      </c>
      <c r="L188" s="15">
        <f>0.041 + 0.06525 + 0.0665625 + 0.06794625 + 0.069387656</f>
        <v>0.31014640600000004</v>
      </c>
      <c r="M188" t="s">
        <v>117</v>
      </c>
      <c r="N188" t="s">
        <v>503</v>
      </c>
      <c r="O188" s="2" t="s">
        <v>913</v>
      </c>
    </row>
    <row r="189" spans="1:15" x14ac:dyDescent="0.25">
      <c r="A189" s="13" t="s">
        <v>115</v>
      </c>
      <c r="B189" t="s">
        <v>133</v>
      </c>
      <c r="C189" s="13" t="s">
        <v>135</v>
      </c>
      <c r="D189" s="56" t="s">
        <v>910</v>
      </c>
      <c r="E189" s="13"/>
      <c r="F189" s="14">
        <f>0.6 * 2 + 0.3 * 3</f>
        <v>2.0999999999999996</v>
      </c>
      <c r="G189" t="s">
        <v>18</v>
      </c>
      <c r="H189" t="s">
        <v>18</v>
      </c>
      <c r="I189" t="s">
        <v>18</v>
      </c>
      <c r="K189" s="15">
        <f>0.6 * 2 + 0.3 * 3</f>
        <v>2.0999999999999996</v>
      </c>
      <c r="L189" s="15">
        <f>0.6 * 2 + 0.3 * 3</f>
        <v>2.0999999999999996</v>
      </c>
      <c r="M189" t="s">
        <v>117</v>
      </c>
      <c r="N189" t="s">
        <v>504</v>
      </c>
      <c r="O189" s="2" t="s">
        <v>914</v>
      </c>
    </row>
    <row r="190" spans="1:15" x14ac:dyDescent="0.25">
      <c r="A190" s="13" t="s">
        <v>115</v>
      </c>
      <c r="B190" t="s">
        <v>133</v>
      </c>
      <c r="C190" s="13" t="s">
        <v>135</v>
      </c>
      <c r="D190" s="56" t="s">
        <v>911</v>
      </c>
      <c r="E190" s="13"/>
      <c r="F190" s="14">
        <f>2.5</f>
        <v>2.5</v>
      </c>
      <c r="G190" t="s">
        <v>18</v>
      </c>
      <c r="H190" t="s">
        <v>18</v>
      </c>
      <c r="I190" t="s">
        <v>18</v>
      </c>
      <c r="K190" s="15">
        <f>2.5</f>
        <v>2.5</v>
      </c>
      <c r="L190" s="15">
        <f>2.5</f>
        <v>2.5</v>
      </c>
      <c r="M190" t="s">
        <v>117</v>
      </c>
      <c r="N190" t="s">
        <v>505</v>
      </c>
      <c r="O190" s="2" t="s">
        <v>914</v>
      </c>
    </row>
    <row r="191" spans="1:15" x14ac:dyDescent="0.25">
      <c r="A191" s="13" t="s">
        <v>115</v>
      </c>
      <c r="B191" t="s">
        <v>133</v>
      </c>
      <c r="C191" s="13" t="s">
        <v>135</v>
      </c>
      <c r="D191" s="56" t="s">
        <v>915</v>
      </c>
      <c r="E191" s="13"/>
      <c r="F191" s="17">
        <v>0.1</v>
      </c>
      <c r="G191" t="s">
        <v>18</v>
      </c>
      <c r="K191" s="15">
        <v>0.1</v>
      </c>
      <c r="L191">
        <v>0.1</v>
      </c>
      <c r="M191" t="s">
        <v>117</v>
      </c>
      <c r="N191" t="s">
        <v>506</v>
      </c>
      <c r="O191" s="2" t="s">
        <v>914</v>
      </c>
    </row>
    <row r="192" spans="1:15" x14ac:dyDescent="0.25">
      <c r="A192" s="13" t="s">
        <v>115</v>
      </c>
      <c r="B192" t="s">
        <v>133</v>
      </c>
      <c r="C192" s="13" t="s">
        <v>135</v>
      </c>
      <c r="D192" s="56" t="s">
        <v>916</v>
      </c>
      <c r="E192" s="13"/>
      <c r="F192" s="15">
        <f>0.387+0.2+0.2+0.15</f>
        <v>0.93699999999999994</v>
      </c>
      <c r="G192" t="s">
        <v>18</v>
      </c>
      <c r="I192" t="s">
        <v>18</v>
      </c>
      <c r="K192" s="15">
        <f>0.387+0.2+0.2+0.15</f>
        <v>0.93699999999999994</v>
      </c>
      <c r="L192" s="15">
        <f>0.387+0.2+0.2+0.15</f>
        <v>0.93699999999999994</v>
      </c>
      <c r="M192" t="s">
        <v>121</v>
      </c>
      <c r="N192" t="s">
        <v>507</v>
      </c>
      <c r="O192" s="2" t="s">
        <v>914</v>
      </c>
    </row>
    <row r="193" spans="1:15" x14ac:dyDescent="0.25">
      <c r="A193" s="13" t="s">
        <v>115</v>
      </c>
      <c r="B193" t="s">
        <v>133</v>
      </c>
      <c r="C193" s="13" t="s">
        <v>135</v>
      </c>
      <c r="D193" s="56" t="s">
        <v>917</v>
      </c>
      <c r="E193" s="13"/>
      <c r="F193" s="17">
        <v>2.5369999999999999</v>
      </c>
      <c r="G193" t="s">
        <v>18</v>
      </c>
      <c r="H193" t="s">
        <v>18</v>
      </c>
      <c r="I193" t="s">
        <v>18</v>
      </c>
      <c r="K193" s="15">
        <f>0.937+0.5+0.5+0.6</f>
        <v>2.5369999999999999</v>
      </c>
      <c r="L193" s="19">
        <v>2.5369999999999999</v>
      </c>
      <c r="M193" t="s">
        <v>121</v>
      </c>
      <c r="N193" t="s">
        <v>508</v>
      </c>
      <c r="O193" s="2" t="s">
        <v>914</v>
      </c>
    </row>
    <row r="194" spans="1:15" x14ac:dyDescent="0.25">
      <c r="A194" s="13" t="s">
        <v>115</v>
      </c>
      <c r="B194" t="s">
        <v>133</v>
      </c>
      <c r="C194" s="13" t="s">
        <v>135</v>
      </c>
      <c r="D194" s="56" t="s">
        <v>918</v>
      </c>
      <c r="E194" s="13"/>
      <c r="F194" s="17">
        <f>L194</f>
        <v>1.4999999999999999E-2</v>
      </c>
      <c r="G194" t="s">
        <v>18</v>
      </c>
      <c r="I194" t="s">
        <v>18</v>
      </c>
      <c r="K194" s="15">
        <f>0.015</f>
        <v>1.4999999999999999E-2</v>
      </c>
      <c r="L194" s="19">
        <v>1.4999999999999999E-2</v>
      </c>
      <c r="M194" t="s">
        <v>117</v>
      </c>
      <c r="N194" t="s">
        <v>509</v>
      </c>
      <c r="O194" s="2" t="s">
        <v>922</v>
      </c>
    </row>
    <row r="195" spans="1:15" x14ac:dyDescent="0.25">
      <c r="A195" s="13" t="s">
        <v>115</v>
      </c>
      <c r="B195" t="s">
        <v>133</v>
      </c>
      <c r="C195" s="13" t="s">
        <v>135</v>
      </c>
      <c r="D195" s="56" t="s">
        <v>919</v>
      </c>
      <c r="E195" s="13"/>
      <c r="F195" s="17">
        <f>L195</f>
        <v>0.1</v>
      </c>
      <c r="G195" t="s">
        <v>18</v>
      </c>
      <c r="I195" t="s">
        <v>18</v>
      </c>
      <c r="K195" s="15">
        <f>0.1</f>
        <v>0.1</v>
      </c>
      <c r="L195">
        <v>0.1</v>
      </c>
      <c r="M195" t="s">
        <v>117</v>
      </c>
      <c r="N195" t="s">
        <v>510</v>
      </c>
      <c r="O195" s="2" t="s">
        <v>922</v>
      </c>
    </row>
    <row r="196" spans="1:15" x14ac:dyDescent="0.25">
      <c r="A196" s="13" t="s">
        <v>115</v>
      </c>
      <c r="B196" t="s">
        <v>133</v>
      </c>
      <c r="C196" s="13" t="s">
        <v>135</v>
      </c>
      <c r="D196" s="56" t="s">
        <v>920</v>
      </c>
      <c r="E196" s="13"/>
      <c r="F196" s="14">
        <f>3.5</f>
        <v>3.5</v>
      </c>
      <c r="G196" t="s">
        <v>18</v>
      </c>
      <c r="H196" t="s">
        <v>18</v>
      </c>
      <c r="I196" t="s">
        <v>18</v>
      </c>
      <c r="K196" s="15">
        <f>3.5</f>
        <v>3.5</v>
      </c>
      <c r="L196" s="15">
        <f>3.5</f>
        <v>3.5</v>
      </c>
      <c r="M196" t="s">
        <v>117</v>
      </c>
      <c r="N196" t="s">
        <v>511</v>
      </c>
      <c r="O196" s="2" t="s">
        <v>842</v>
      </c>
    </row>
    <row r="197" spans="1:15" x14ac:dyDescent="0.25">
      <c r="A197" s="13" t="s">
        <v>115</v>
      </c>
      <c r="B197" t="s">
        <v>133</v>
      </c>
      <c r="C197" s="13" t="s">
        <v>135</v>
      </c>
      <c r="D197" s="56" t="s">
        <v>921</v>
      </c>
      <c r="E197" s="13"/>
      <c r="F197" s="17">
        <v>0.5</v>
      </c>
      <c r="G197" t="s">
        <v>18</v>
      </c>
      <c r="I197" t="s">
        <v>18</v>
      </c>
      <c r="K197" s="15">
        <f>0.1+0.1+0.15+0.15</f>
        <v>0.5</v>
      </c>
      <c r="L197">
        <v>0.5</v>
      </c>
      <c r="M197" t="s">
        <v>121</v>
      </c>
      <c r="N197" t="s">
        <v>512</v>
      </c>
      <c r="O197" s="2" t="s">
        <v>923</v>
      </c>
    </row>
    <row r="198" spans="1:15" x14ac:dyDescent="0.25">
      <c r="A198" s="13" t="s">
        <v>115</v>
      </c>
      <c r="B198" t="s">
        <v>133</v>
      </c>
      <c r="C198" s="13" t="s">
        <v>136</v>
      </c>
      <c r="D198" s="13" t="s">
        <v>137</v>
      </c>
      <c r="E198" s="13"/>
      <c r="F198" s="17">
        <v>0.35499999999999998</v>
      </c>
      <c r="G198" t="s">
        <v>18</v>
      </c>
      <c r="I198" t="s">
        <v>18</v>
      </c>
      <c r="K198" s="15">
        <v>0.35499999999999998</v>
      </c>
      <c r="L198" s="19">
        <v>0.35499999999999998</v>
      </c>
      <c r="M198" t="s">
        <v>121</v>
      </c>
      <c r="N198" t="s">
        <v>513</v>
      </c>
      <c r="O198" s="2" t="s">
        <v>924</v>
      </c>
    </row>
    <row r="199" spans="1:15" x14ac:dyDescent="0.25">
      <c r="A199" s="13" t="s">
        <v>115</v>
      </c>
      <c r="B199" t="s">
        <v>133</v>
      </c>
      <c r="C199" s="13" t="s">
        <v>136</v>
      </c>
      <c r="D199" s="13" t="s">
        <v>925</v>
      </c>
      <c r="E199" s="13"/>
      <c r="F199" s="17">
        <v>0.15</v>
      </c>
      <c r="G199" t="s">
        <v>18</v>
      </c>
      <c r="K199" s="15">
        <v>0.15</v>
      </c>
      <c r="L199">
        <v>0.15</v>
      </c>
      <c r="M199" t="s">
        <v>121</v>
      </c>
      <c r="N199" t="s">
        <v>514</v>
      </c>
      <c r="O199" s="2" t="s">
        <v>924</v>
      </c>
    </row>
    <row r="200" spans="1:15" x14ac:dyDescent="0.25">
      <c r="A200" s="13" t="s">
        <v>115</v>
      </c>
      <c r="B200" t="s">
        <v>133</v>
      </c>
      <c r="C200" s="13" t="s">
        <v>138</v>
      </c>
      <c r="D200" s="13" t="s">
        <v>139</v>
      </c>
      <c r="E200" s="13"/>
      <c r="F200" s="14">
        <f>0.005 * 5</f>
        <v>2.5000000000000001E-2</v>
      </c>
      <c r="G200" t="s">
        <v>18</v>
      </c>
      <c r="K200" s="15">
        <f>0.005 * 5</f>
        <v>2.5000000000000001E-2</v>
      </c>
      <c r="L200" s="15">
        <f>0.005 * 5</f>
        <v>2.5000000000000001E-2</v>
      </c>
      <c r="M200" t="s">
        <v>21</v>
      </c>
      <c r="N200" t="s">
        <v>515</v>
      </c>
      <c r="O200" s="2" t="s">
        <v>842</v>
      </c>
    </row>
    <row r="201" spans="1:15" x14ac:dyDescent="0.25">
      <c r="A201" s="13" t="s">
        <v>115</v>
      </c>
      <c r="B201" t="s">
        <v>133</v>
      </c>
      <c r="C201" s="13" t="s">
        <v>138</v>
      </c>
      <c r="D201" s="13" t="s">
        <v>927</v>
      </c>
      <c r="E201" s="13"/>
      <c r="F201" s="14">
        <f>0.05</f>
        <v>0.05</v>
      </c>
      <c r="G201" t="s">
        <v>18</v>
      </c>
      <c r="H201" t="s">
        <v>18</v>
      </c>
      <c r="I201" t="s">
        <v>18</v>
      </c>
      <c r="K201" s="15">
        <f>0.05</f>
        <v>0.05</v>
      </c>
      <c r="L201" s="15">
        <f>0.05</f>
        <v>0.05</v>
      </c>
      <c r="M201" t="s">
        <v>21</v>
      </c>
      <c r="N201" t="s">
        <v>516</v>
      </c>
      <c r="O201" s="2" t="s">
        <v>842</v>
      </c>
    </row>
    <row r="202" spans="1:15" x14ac:dyDescent="0.25">
      <c r="A202" s="13" t="s">
        <v>115</v>
      </c>
      <c r="B202" t="s">
        <v>133</v>
      </c>
      <c r="C202" s="13" t="s">
        <v>140</v>
      </c>
      <c r="D202" t="s">
        <v>141</v>
      </c>
      <c r="E202" s="13" t="s">
        <v>926</v>
      </c>
      <c r="F202" s="14">
        <v>8</v>
      </c>
      <c r="G202" t="s">
        <v>18</v>
      </c>
      <c r="H202" t="s">
        <v>18</v>
      </c>
      <c r="I202" t="s">
        <v>18</v>
      </c>
      <c r="K202">
        <v>8</v>
      </c>
      <c r="L202">
        <v>8</v>
      </c>
      <c r="M202" t="s">
        <v>121</v>
      </c>
      <c r="N202" t="s">
        <v>517</v>
      </c>
      <c r="O202" s="2" t="s">
        <v>842</v>
      </c>
    </row>
    <row r="203" spans="1:15" x14ac:dyDescent="0.25">
      <c r="A203" s="13" t="s">
        <v>115</v>
      </c>
      <c r="B203" t="s">
        <v>133</v>
      </c>
      <c r="C203" s="13" t="s">
        <v>140</v>
      </c>
      <c r="D203" t="s">
        <v>141</v>
      </c>
      <c r="E203" s="26" t="s">
        <v>142</v>
      </c>
      <c r="F203" s="14">
        <f>0.5</f>
        <v>0.5</v>
      </c>
      <c r="G203" t="s">
        <v>18</v>
      </c>
      <c r="H203" t="s">
        <v>18</v>
      </c>
      <c r="K203">
        <v>0.5</v>
      </c>
      <c r="L203">
        <v>0.5</v>
      </c>
      <c r="M203" t="s">
        <v>117</v>
      </c>
      <c r="N203" t="s">
        <v>518</v>
      </c>
      <c r="O203" s="2" t="s">
        <v>842</v>
      </c>
    </row>
    <row r="204" spans="1:15" x14ac:dyDescent="0.25">
      <c r="A204" s="13" t="s">
        <v>115</v>
      </c>
      <c r="B204" t="s">
        <v>133</v>
      </c>
      <c r="C204" s="13" t="s">
        <v>140</v>
      </c>
      <c r="D204" t="s">
        <v>141</v>
      </c>
      <c r="E204" s="56" t="s">
        <v>928</v>
      </c>
      <c r="F204" s="14">
        <v>1</v>
      </c>
      <c r="G204" t="s">
        <v>18</v>
      </c>
      <c r="H204" t="s">
        <v>18</v>
      </c>
      <c r="I204" t="s">
        <v>18</v>
      </c>
      <c r="K204">
        <v>1</v>
      </c>
      <c r="L204">
        <v>1</v>
      </c>
      <c r="M204" t="s">
        <v>117</v>
      </c>
      <c r="N204" t="s">
        <v>519</v>
      </c>
      <c r="O204" s="2" t="s">
        <v>934</v>
      </c>
    </row>
    <row r="205" spans="1:15" x14ac:dyDescent="0.25">
      <c r="A205" s="13" t="s">
        <v>115</v>
      </c>
      <c r="B205" t="s">
        <v>133</v>
      </c>
      <c r="C205" s="13" t="s">
        <v>140</v>
      </c>
      <c r="D205" t="s">
        <v>143</v>
      </c>
      <c r="E205" s="56" t="s">
        <v>929</v>
      </c>
      <c r="F205" s="14">
        <v>6</v>
      </c>
      <c r="G205" t="s">
        <v>18</v>
      </c>
      <c r="H205" t="s">
        <v>18</v>
      </c>
      <c r="I205" t="s">
        <v>18</v>
      </c>
      <c r="K205">
        <v>6</v>
      </c>
      <c r="L205">
        <v>6</v>
      </c>
      <c r="M205" t="s">
        <v>117</v>
      </c>
      <c r="N205" t="s">
        <v>520</v>
      </c>
      <c r="O205" s="2" t="s">
        <v>934</v>
      </c>
    </row>
    <row r="206" spans="1:15" x14ac:dyDescent="0.25">
      <c r="A206" s="13" t="s">
        <v>115</v>
      </c>
      <c r="B206" t="s">
        <v>133</v>
      </c>
      <c r="C206" s="13" t="s">
        <v>140</v>
      </c>
      <c r="D206" t="s">
        <v>143</v>
      </c>
      <c r="E206" s="56" t="s">
        <v>930</v>
      </c>
      <c r="F206" s="14">
        <f>L206</f>
        <v>2.4769999999999999</v>
      </c>
      <c r="G206" t="s">
        <v>18</v>
      </c>
      <c r="K206" s="15">
        <f>0.511+0.506+0.636+0.824+0.453+0.281</f>
        <v>3.2109999999999999</v>
      </c>
      <c r="L206">
        <v>2.4769999999999999</v>
      </c>
      <c r="M206" t="s">
        <v>121</v>
      </c>
      <c r="N206" t="s">
        <v>521</v>
      </c>
      <c r="O206" s="2" t="s">
        <v>935</v>
      </c>
    </row>
    <row r="207" spans="1:15" x14ac:dyDescent="0.25">
      <c r="A207" s="13" t="s">
        <v>115</v>
      </c>
      <c r="B207" t="s">
        <v>133</v>
      </c>
      <c r="C207" s="13" t="s">
        <v>140</v>
      </c>
      <c r="D207" t="s">
        <v>144</v>
      </c>
      <c r="E207" s="56" t="s">
        <v>931</v>
      </c>
      <c r="F207" s="14">
        <f>0.125</f>
        <v>0.125</v>
      </c>
      <c r="G207" t="s">
        <v>18</v>
      </c>
      <c r="I207" t="s">
        <v>18</v>
      </c>
      <c r="K207">
        <v>0.125</v>
      </c>
      <c r="L207">
        <v>0.125</v>
      </c>
      <c r="M207" t="s">
        <v>117</v>
      </c>
      <c r="N207" t="s">
        <v>522</v>
      </c>
      <c r="O207" s="2" t="s">
        <v>936</v>
      </c>
    </row>
    <row r="208" spans="1:15" x14ac:dyDescent="0.25">
      <c r="A208" s="13" t="s">
        <v>115</v>
      </c>
      <c r="B208" t="s">
        <v>133</v>
      </c>
      <c r="C208" s="13" t="s">
        <v>140</v>
      </c>
      <c r="D208" t="s">
        <v>144</v>
      </c>
      <c r="E208" s="56" t="s">
        <v>932</v>
      </c>
      <c r="F208" s="14">
        <f>0.075</f>
        <v>7.4999999999999997E-2</v>
      </c>
      <c r="G208" t="s">
        <v>18</v>
      </c>
      <c r="K208">
        <v>7.4999999999999997E-2</v>
      </c>
      <c r="L208">
        <v>7.4999999999999997E-2</v>
      </c>
      <c r="M208" t="s">
        <v>117</v>
      </c>
      <c r="N208" t="s">
        <v>523</v>
      </c>
      <c r="O208" s="2" t="s">
        <v>936</v>
      </c>
    </row>
    <row r="209" spans="1:15" x14ac:dyDescent="0.25">
      <c r="A209" s="13" t="s">
        <v>115</v>
      </c>
      <c r="B209" t="s">
        <v>133</v>
      </c>
      <c r="C209" s="13" t="s">
        <v>140</v>
      </c>
      <c r="D209" t="s">
        <v>144</v>
      </c>
      <c r="E209" s="56" t="s">
        <v>933</v>
      </c>
      <c r="F209" s="14">
        <f>0.5536</f>
        <v>0.55359999999999998</v>
      </c>
      <c r="G209" t="s">
        <v>18</v>
      </c>
      <c r="H209" t="s">
        <v>18</v>
      </c>
      <c r="K209" s="14">
        <f>0.5536</f>
        <v>0.55359999999999998</v>
      </c>
      <c r="L209" s="14">
        <f>0.5536</f>
        <v>0.55359999999999998</v>
      </c>
      <c r="M209" t="s">
        <v>117</v>
      </c>
      <c r="N209" t="s">
        <v>524</v>
      </c>
      <c r="O209" s="2" t="s">
        <v>842</v>
      </c>
    </row>
    <row r="210" spans="1:15" x14ac:dyDescent="0.25">
      <c r="A210" s="13" t="s">
        <v>115</v>
      </c>
      <c r="B210" t="s">
        <v>133</v>
      </c>
      <c r="C210" s="13" t="s">
        <v>140</v>
      </c>
      <c r="D210" t="s">
        <v>144</v>
      </c>
      <c r="E210" s="26" t="s">
        <v>937</v>
      </c>
      <c r="F210" s="14">
        <v>3.5999999999999997E-2</v>
      </c>
      <c r="G210" t="s">
        <v>18</v>
      </c>
      <c r="K210" s="15">
        <v>3.5999999999999997E-2</v>
      </c>
      <c r="L210" s="19">
        <v>3.5999999999999997E-2</v>
      </c>
      <c r="M210" t="s">
        <v>117</v>
      </c>
      <c r="N210" t="s">
        <v>525</v>
      </c>
      <c r="O210" s="2" t="s">
        <v>941</v>
      </c>
    </row>
    <row r="211" spans="1:15" x14ac:dyDescent="0.25">
      <c r="A211" s="13" t="s">
        <v>115</v>
      </c>
      <c r="B211" t="s">
        <v>133</v>
      </c>
      <c r="C211" s="13" t="s">
        <v>140</v>
      </c>
      <c r="D211" t="s">
        <v>144</v>
      </c>
      <c r="E211" s="26" t="s">
        <v>938</v>
      </c>
      <c r="F211" s="14">
        <v>7.0400000000000004E-2</v>
      </c>
      <c r="G211" t="s">
        <v>18</v>
      </c>
      <c r="K211" s="15">
        <v>7.0400000000000004E-2</v>
      </c>
      <c r="L211" s="19">
        <v>7.0400000000000004E-2</v>
      </c>
      <c r="M211" t="s">
        <v>117</v>
      </c>
      <c r="N211" t="s">
        <v>526</v>
      </c>
      <c r="O211" s="2" t="s">
        <v>941</v>
      </c>
    </row>
    <row r="212" spans="1:15" x14ac:dyDescent="0.25">
      <c r="A212" s="13" t="s">
        <v>115</v>
      </c>
      <c r="B212" t="s">
        <v>133</v>
      </c>
      <c r="C212" s="13" t="s">
        <v>140</v>
      </c>
      <c r="D212" t="s">
        <v>144</v>
      </c>
      <c r="E212" s="13" t="s">
        <v>145</v>
      </c>
      <c r="F212" s="14">
        <f>0.04</f>
        <v>0.04</v>
      </c>
      <c r="G212" t="s">
        <v>18</v>
      </c>
      <c r="I212" t="s">
        <v>18</v>
      </c>
      <c r="K212" s="15">
        <f>0.04</f>
        <v>0.04</v>
      </c>
      <c r="L212">
        <v>0.04</v>
      </c>
      <c r="M212" t="s">
        <v>117</v>
      </c>
      <c r="N212" t="s">
        <v>527</v>
      </c>
      <c r="O212" s="2" t="s">
        <v>942</v>
      </c>
    </row>
    <row r="213" spans="1:15" x14ac:dyDescent="0.25">
      <c r="A213" s="13" t="s">
        <v>115</v>
      </c>
      <c r="B213" t="s">
        <v>133</v>
      </c>
      <c r="C213" s="13" t="s">
        <v>140</v>
      </c>
      <c r="D213" s="13" t="s">
        <v>146</v>
      </c>
      <c r="E213" s="13" t="s">
        <v>939</v>
      </c>
      <c r="F213" s="14">
        <f>0.084</f>
        <v>8.4000000000000005E-2</v>
      </c>
      <c r="G213" t="s">
        <v>18</v>
      </c>
      <c r="I213" t="s">
        <v>18</v>
      </c>
      <c r="K213" s="15">
        <f>0.084</f>
        <v>8.4000000000000005E-2</v>
      </c>
      <c r="L213" s="19">
        <v>8.4000000000000005E-2</v>
      </c>
      <c r="M213" t="s">
        <v>117</v>
      </c>
      <c r="N213" t="s">
        <v>528</v>
      </c>
      <c r="O213" s="2" t="s">
        <v>941</v>
      </c>
    </row>
    <row r="214" spans="1:15" x14ac:dyDescent="0.25">
      <c r="A214" s="13" t="s">
        <v>115</v>
      </c>
      <c r="B214" t="s">
        <v>133</v>
      </c>
      <c r="C214" s="13" t="s">
        <v>140</v>
      </c>
      <c r="D214" s="13" t="s">
        <v>147</v>
      </c>
      <c r="E214" s="13" t="s">
        <v>940</v>
      </c>
      <c r="F214" s="17">
        <v>0.06</v>
      </c>
      <c r="G214" t="s">
        <v>18</v>
      </c>
      <c r="I214" t="s">
        <v>18</v>
      </c>
      <c r="K214" s="15">
        <f>0.06</f>
        <v>0.06</v>
      </c>
      <c r="L214">
        <v>0.06</v>
      </c>
      <c r="M214" t="s">
        <v>117</v>
      </c>
      <c r="N214" t="s">
        <v>529</v>
      </c>
      <c r="O214" s="2" t="s">
        <v>942</v>
      </c>
    </row>
    <row r="215" spans="1:15" x14ac:dyDescent="0.25">
      <c r="A215" s="13" t="s">
        <v>115</v>
      </c>
      <c r="B215" t="s">
        <v>133</v>
      </c>
      <c r="C215" s="13" t="s">
        <v>140</v>
      </c>
      <c r="D215" s="13" t="s">
        <v>147</v>
      </c>
      <c r="E215" s="56" t="s">
        <v>943</v>
      </c>
      <c r="F215" s="17">
        <v>0.04</v>
      </c>
      <c r="G215" t="s">
        <v>18</v>
      </c>
      <c r="I215" t="s">
        <v>18</v>
      </c>
      <c r="K215" s="15">
        <f>0.04</f>
        <v>0.04</v>
      </c>
      <c r="L215">
        <v>0.04</v>
      </c>
      <c r="M215" t="s">
        <v>117</v>
      </c>
      <c r="N215" t="s">
        <v>530</v>
      </c>
      <c r="O215" s="2" t="s">
        <v>942</v>
      </c>
    </row>
    <row r="216" spans="1:15" x14ac:dyDescent="0.25">
      <c r="A216" s="13" t="s">
        <v>115</v>
      </c>
      <c r="B216" t="s">
        <v>133</v>
      </c>
      <c r="C216" s="13" t="s">
        <v>140</v>
      </c>
      <c r="D216" s="13" t="s">
        <v>148</v>
      </c>
      <c r="E216" s="26" t="s">
        <v>944</v>
      </c>
      <c r="F216" s="17">
        <v>0.04</v>
      </c>
      <c r="G216" t="s">
        <v>18</v>
      </c>
      <c r="I216" t="s">
        <v>18</v>
      </c>
      <c r="K216" s="15">
        <f>0.04</f>
        <v>0.04</v>
      </c>
      <c r="L216">
        <v>0.04</v>
      </c>
      <c r="M216" t="s">
        <v>117</v>
      </c>
      <c r="N216" t="s">
        <v>531</v>
      </c>
      <c r="O216" s="2" t="s">
        <v>942</v>
      </c>
    </row>
    <row r="217" spans="1:15" x14ac:dyDescent="0.25">
      <c r="A217" s="13" t="s">
        <v>115</v>
      </c>
      <c r="B217" t="s">
        <v>133</v>
      </c>
      <c r="C217" s="13" t="s">
        <v>140</v>
      </c>
      <c r="D217" s="13" t="s">
        <v>148</v>
      </c>
      <c r="E217" s="26" t="s">
        <v>945</v>
      </c>
      <c r="F217" s="17">
        <v>0.02</v>
      </c>
      <c r="G217" t="s">
        <v>18</v>
      </c>
      <c r="I217" t="s">
        <v>18</v>
      </c>
      <c r="K217" s="15">
        <f>0.02</f>
        <v>0.02</v>
      </c>
      <c r="L217">
        <v>0.02</v>
      </c>
      <c r="M217" t="s">
        <v>117</v>
      </c>
      <c r="N217" t="s">
        <v>532</v>
      </c>
      <c r="O217" s="2" t="s">
        <v>942</v>
      </c>
    </row>
    <row r="218" spans="1:15" x14ac:dyDescent="0.25">
      <c r="A218" s="13" t="s">
        <v>115</v>
      </c>
      <c r="B218" t="s">
        <v>133</v>
      </c>
      <c r="C218" s="13" t="s">
        <v>140</v>
      </c>
      <c r="D218" s="13" t="s">
        <v>148</v>
      </c>
      <c r="E218" s="26" t="s">
        <v>946</v>
      </c>
      <c r="F218" s="17">
        <v>0.02</v>
      </c>
      <c r="G218" t="s">
        <v>18</v>
      </c>
      <c r="K218" s="15">
        <f>0.02</f>
        <v>0.02</v>
      </c>
      <c r="L218">
        <v>0.02</v>
      </c>
      <c r="M218" t="s">
        <v>117</v>
      </c>
      <c r="N218" t="s">
        <v>533</v>
      </c>
      <c r="O218" s="2" t="s">
        <v>942</v>
      </c>
    </row>
    <row r="219" spans="1:15" x14ac:dyDescent="0.25">
      <c r="A219" s="13" t="s">
        <v>115</v>
      </c>
      <c r="B219" t="s">
        <v>133</v>
      </c>
      <c r="C219" s="13" t="s">
        <v>140</v>
      </c>
      <c r="D219" s="13" t="s">
        <v>38</v>
      </c>
      <c r="E219" s="56" t="s">
        <v>947</v>
      </c>
      <c r="F219" s="14">
        <f>0.5</f>
        <v>0.5</v>
      </c>
      <c r="G219" t="s">
        <v>18</v>
      </c>
      <c r="H219" t="s">
        <v>18</v>
      </c>
      <c r="I219" t="s">
        <v>18</v>
      </c>
      <c r="K219" s="14">
        <f>0.5</f>
        <v>0.5</v>
      </c>
      <c r="L219" s="14">
        <f>0.5</f>
        <v>0.5</v>
      </c>
      <c r="M219" t="s">
        <v>121</v>
      </c>
      <c r="N219" t="s">
        <v>534</v>
      </c>
      <c r="O219" s="2" t="s">
        <v>948</v>
      </c>
    </row>
    <row r="220" spans="1:15" x14ac:dyDescent="0.25">
      <c r="A220" s="13" t="s">
        <v>115</v>
      </c>
      <c r="B220" t="s">
        <v>133</v>
      </c>
      <c r="C220" s="13" t="s">
        <v>140</v>
      </c>
      <c r="D220" s="13" t="s">
        <v>38</v>
      </c>
      <c r="E220" s="56" t="s">
        <v>949</v>
      </c>
      <c r="F220" s="14">
        <f>0.002 * 5</f>
        <v>0.01</v>
      </c>
      <c r="G220" t="s">
        <v>18</v>
      </c>
      <c r="H220" t="s">
        <v>18</v>
      </c>
      <c r="K220" s="14">
        <f>0.002 * 5</f>
        <v>0.01</v>
      </c>
      <c r="L220" s="14">
        <f>0.002 * 5</f>
        <v>0.01</v>
      </c>
      <c r="M220" t="s">
        <v>117</v>
      </c>
      <c r="N220" t="s">
        <v>535</v>
      </c>
      <c r="O220" s="2" t="s">
        <v>842</v>
      </c>
    </row>
    <row r="221" spans="1:15" x14ac:dyDescent="0.25">
      <c r="A221" s="13" t="s">
        <v>115</v>
      </c>
      <c r="B221" t="s">
        <v>133</v>
      </c>
      <c r="C221" t="s">
        <v>149</v>
      </c>
      <c r="D221" s="26" t="s">
        <v>950</v>
      </c>
      <c r="E221" s="13"/>
      <c r="F221" s="14">
        <f>0.25+0.03</f>
        <v>0.28000000000000003</v>
      </c>
      <c r="G221" t="s">
        <v>18</v>
      </c>
      <c r="H221" t="s">
        <v>18</v>
      </c>
      <c r="K221">
        <f>0.25</f>
        <v>0.25</v>
      </c>
      <c r="L221" s="40">
        <f>0.25+0.03</f>
        <v>0.28000000000000003</v>
      </c>
      <c r="M221" t="s">
        <v>117</v>
      </c>
      <c r="N221" t="s">
        <v>536</v>
      </c>
      <c r="O221" s="2" t="s">
        <v>842</v>
      </c>
    </row>
    <row r="222" spans="1:15" x14ac:dyDescent="0.25">
      <c r="A222" s="13" t="s">
        <v>115</v>
      </c>
      <c r="B222" t="s">
        <v>133</v>
      </c>
      <c r="C222" t="s">
        <v>149</v>
      </c>
      <c r="D222" s="26" t="s">
        <v>951</v>
      </c>
      <c r="E222" s="13"/>
      <c r="F222" s="14">
        <f>0.775</f>
        <v>0.77500000000000002</v>
      </c>
      <c r="G222" t="s">
        <v>18</v>
      </c>
      <c r="H222" t="s">
        <v>18</v>
      </c>
      <c r="K222" s="15">
        <f>0.775</f>
        <v>0.77500000000000002</v>
      </c>
      <c r="L222" s="15">
        <f>0.775</f>
        <v>0.77500000000000002</v>
      </c>
      <c r="M222" t="s">
        <v>117</v>
      </c>
      <c r="N222" t="s">
        <v>537</v>
      </c>
      <c r="O222" s="2" t="s">
        <v>842</v>
      </c>
    </row>
    <row r="223" spans="1:15" x14ac:dyDescent="0.25">
      <c r="A223" s="13" t="s">
        <v>115</v>
      </c>
      <c r="B223" t="s">
        <v>133</v>
      </c>
      <c r="C223" t="s">
        <v>149</v>
      </c>
      <c r="D223" s="26" t="s">
        <v>952</v>
      </c>
      <c r="E223" s="13"/>
      <c r="F223" s="14">
        <v>2</v>
      </c>
      <c r="G223" t="s">
        <v>18</v>
      </c>
      <c r="H223" t="s">
        <v>18</v>
      </c>
      <c r="K223" s="15">
        <v>2</v>
      </c>
      <c r="L223" s="15">
        <v>2</v>
      </c>
      <c r="M223" t="s">
        <v>117</v>
      </c>
      <c r="N223" t="s">
        <v>538</v>
      </c>
      <c r="O223" s="2" t="s">
        <v>842</v>
      </c>
    </row>
    <row r="224" spans="1:15" x14ac:dyDescent="0.25">
      <c r="A224" s="13" t="s">
        <v>115</v>
      </c>
      <c r="B224" t="s">
        <v>133</v>
      </c>
      <c r="C224" t="s">
        <v>149</v>
      </c>
      <c r="D224" s="26" t="s">
        <v>953</v>
      </c>
      <c r="E224" s="13"/>
      <c r="F224" s="14">
        <v>1.5</v>
      </c>
      <c r="G224" t="s">
        <v>18</v>
      </c>
      <c r="H224" t="s">
        <v>18</v>
      </c>
      <c r="I224" t="s">
        <v>18</v>
      </c>
      <c r="K224" s="15">
        <v>1.5</v>
      </c>
      <c r="L224" s="15">
        <v>1.5</v>
      </c>
      <c r="M224" t="s">
        <v>117</v>
      </c>
      <c r="N224" t="s">
        <v>539</v>
      </c>
      <c r="O224" s="2" t="s">
        <v>842</v>
      </c>
    </row>
    <row r="225" spans="1:15" s="57" customFormat="1" x14ac:dyDescent="0.25">
      <c r="A225" s="59" t="s">
        <v>115</v>
      </c>
      <c r="B225" s="58" t="s">
        <v>133</v>
      </c>
      <c r="C225" s="58" t="s">
        <v>149</v>
      </c>
      <c r="D225" s="59" t="s">
        <v>150</v>
      </c>
      <c r="E225" s="59"/>
      <c r="F225" s="20">
        <f>0.15</f>
        <v>0.15</v>
      </c>
      <c r="G225" s="58" t="s">
        <v>18</v>
      </c>
      <c r="H225" s="58" t="s">
        <v>18</v>
      </c>
      <c r="I225" s="58"/>
      <c r="J225" s="58"/>
      <c r="K225" s="18">
        <f>0.15</f>
        <v>0.15</v>
      </c>
      <c r="L225" s="18">
        <f>0.15</f>
        <v>0.15</v>
      </c>
      <c r="M225" s="58" t="s">
        <v>117</v>
      </c>
      <c r="N225" s="58" t="s">
        <v>540</v>
      </c>
      <c r="O225" s="57" t="s">
        <v>842</v>
      </c>
    </row>
    <row r="226" spans="1:15" x14ac:dyDescent="0.25">
      <c r="A226" s="13" t="s">
        <v>115</v>
      </c>
      <c r="B226" t="s">
        <v>133</v>
      </c>
      <c r="C226" t="s">
        <v>149</v>
      </c>
      <c r="D226" s="26" t="s">
        <v>954</v>
      </c>
      <c r="E226" s="13"/>
      <c r="F226" s="14">
        <f>0.03</f>
        <v>0.03</v>
      </c>
      <c r="G226" t="s">
        <v>18</v>
      </c>
      <c r="H226" t="s">
        <v>18</v>
      </c>
      <c r="K226" s="15">
        <f>0.03</f>
        <v>0.03</v>
      </c>
      <c r="L226" s="15"/>
      <c r="M226" t="s">
        <v>117</v>
      </c>
      <c r="N226" t="s">
        <v>541</v>
      </c>
      <c r="O226" s="57" t="s">
        <v>842</v>
      </c>
    </row>
    <row r="227" spans="1:15" x14ac:dyDescent="0.25">
      <c r="A227" s="13" t="s">
        <v>115</v>
      </c>
      <c r="B227" t="s">
        <v>133</v>
      </c>
      <c r="C227" t="s">
        <v>149</v>
      </c>
      <c r="D227" s="26" t="s">
        <v>955</v>
      </c>
      <c r="E227" s="13"/>
      <c r="F227" s="14">
        <f>0.002</f>
        <v>2E-3</v>
      </c>
      <c r="G227" t="s">
        <v>18</v>
      </c>
      <c r="H227" t="s">
        <v>18</v>
      </c>
      <c r="K227" s="15">
        <f>0.002</f>
        <v>2E-3</v>
      </c>
      <c r="L227" s="15">
        <f>0.002</f>
        <v>2E-3</v>
      </c>
      <c r="M227" t="s">
        <v>151</v>
      </c>
      <c r="N227" t="s">
        <v>542</v>
      </c>
      <c r="O227" s="2" t="s">
        <v>959</v>
      </c>
    </row>
    <row r="228" spans="1:15" x14ac:dyDescent="0.25">
      <c r="A228" s="13" t="s">
        <v>115</v>
      </c>
      <c r="B228" t="s">
        <v>133</v>
      </c>
      <c r="C228" t="s">
        <v>152</v>
      </c>
      <c r="D228" s="26" t="s">
        <v>956</v>
      </c>
      <c r="E228" s="13"/>
      <c r="F228" s="17">
        <v>11.292999999999999</v>
      </c>
      <c r="G228" t="s">
        <v>18</v>
      </c>
      <c r="K228">
        <v>11.292999999999999</v>
      </c>
      <c r="L228">
        <v>11.292999999999999</v>
      </c>
      <c r="M228" t="s">
        <v>153</v>
      </c>
      <c r="N228" t="s">
        <v>543</v>
      </c>
      <c r="O228" s="2" t="s">
        <v>960</v>
      </c>
    </row>
    <row r="229" spans="1:15" x14ac:dyDescent="0.25">
      <c r="A229" s="13" t="s">
        <v>115</v>
      </c>
      <c r="B229" t="s">
        <v>133</v>
      </c>
      <c r="C229" t="s">
        <v>152</v>
      </c>
      <c r="D229" s="56" t="s">
        <v>957</v>
      </c>
      <c r="E229" s="13"/>
      <c r="F229" s="17">
        <v>3</v>
      </c>
      <c r="G229" t="s">
        <v>18</v>
      </c>
      <c r="H229" t="s">
        <v>18</v>
      </c>
      <c r="I229" t="s">
        <v>18</v>
      </c>
      <c r="K229">
        <v>3</v>
      </c>
      <c r="M229" t="s">
        <v>153</v>
      </c>
      <c r="N229" t="s">
        <v>544</v>
      </c>
      <c r="O229" s="2" t="s">
        <v>961</v>
      </c>
    </row>
    <row r="230" spans="1:15" x14ac:dyDescent="0.25">
      <c r="A230" s="13" t="s">
        <v>115</v>
      </c>
      <c r="B230" t="s">
        <v>133</v>
      </c>
      <c r="C230" t="s">
        <v>154</v>
      </c>
      <c r="D230" s="56" t="s">
        <v>958</v>
      </c>
      <c r="E230" s="16"/>
      <c r="F230" s="17">
        <v>2.3668000000000002E-2</v>
      </c>
      <c r="K230" s="19">
        <v>2.3668000000000002E-2</v>
      </c>
      <c r="L230" s="19">
        <v>2.3668000000000002E-2</v>
      </c>
      <c r="M230" t="s">
        <v>153</v>
      </c>
      <c r="N230" t="s">
        <v>545</v>
      </c>
      <c r="O230" s="2" t="s">
        <v>966</v>
      </c>
    </row>
    <row r="231" spans="1:15" x14ac:dyDescent="0.25">
      <c r="A231" s="13" t="s">
        <v>115</v>
      </c>
      <c r="B231" t="s">
        <v>133</v>
      </c>
      <c r="C231" t="s">
        <v>154</v>
      </c>
      <c r="D231" s="16" t="s">
        <v>962</v>
      </c>
      <c r="E231" s="16"/>
      <c r="F231" s="14">
        <f>0.023 + 0.0242 + 0.0254 + 0.0266 + 0.0278</f>
        <v>0.127</v>
      </c>
      <c r="K231" s="41">
        <f>0.023 + 0.0242 + 0.0254 + 0.0266 + 0.0278</f>
        <v>0.127</v>
      </c>
      <c r="L231" s="19">
        <v>0.127</v>
      </c>
      <c r="M231" t="s">
        <v>117</v>
      </c>
      <c r="N231" t="s">
        <v>546</v>
      </c>
      <c r="O231" s="2" t="s">
        <v>942</v>
      </c>
    </row>
    <row r="232" spans="1:15" x14ac:dyDescent="0.25">
      <c r="A232" s="13" t="s">
        <v>115</v>
      </c>
      <c r="B232" t="s">
        <v>133</v>
      </c>
      <c r="C232" t="s">
        <v>154</v>
      </c>
      <c r="D232" s="16" t="s">
        <v>963</v>
      </c>
      <c r="E232" s="16"/>
      <c r="F232" s="14">
        <v>0.6</v>
      </c>
      <c r="K232" s="41">
        <f>0.23 + 0.1 + (0.135 * 2)</f>
        <v>0.60000000000000009</v>
      </c>
      <c r="L232" s="19">
        <v>0.6</v>
      </c>
      <c r="M232" t="s">
        <v>117</v>
      </c>
      <c r="N232" t="s">
        <v>547</v>
      </c>
      <c r="O232" s="2" t="s">
        <v>942</v>
      </c>
    </row>
    <row r="233" spans="1:15" x14ac:dyDescent="0.25">
      <c r="A233" s="13" t="s">
        <v>115</v>
      </c>
      <c r="B233" t="s">
        <v>133</v>
      </c>
      <c r="C233" t="s">
        <v>154</v>
      </c>
      <c r="D233" s="16" t="s">
        <v>964</v>
      </c>
      <c r="E233" s="16"/>
      <c r="F233" s="14">
        <f>0.04+0.035</f>
        <v>7.5000000000000011E-2</v>
      </c>
      <c r="K233" s="41">
        <f>0.04+0.035</f>
        <v>7.5000000000000011E-2</v>
      </c>
      <c r="L233" s="19">
        <v>7.4999999999999997E-2</v>
      </c>
      <c r="M233" t="s">
        <v>117</v>
      </c>
      <c r="N233" t="s">
        <v>548</v>
      </c>
      <c r="O233" s="2" t="s">
        <v>942</v>
      </c>
    </row>
    <row r="234" spans="1:15" x14ac:dyDescent="0.25">
      <c r="A234" s="13" t="s">
        <v>115</v>
      </c>
      <c r="B234" t="s">
        <v>155</v>
      </c>
      <c r="C234" s="13" t="s">
        <v>965</v>
      </c>
      <c r="D234" s="13"/>
      <c r="E234" s="13"/>
      <c r="F234" s="14">
        <f>0.25</f>
        <v>0.25</v>
      </c>
      <c r="G234" t="s">
        <v>18</v>
      </c>
      <c r="H234" t="s">
        <v>18</v>
      </c>
      <c r="K234">
        <v>0.25</v>
      </c>
      <c r="L234">
        <v>0.25</v>
      </c>
      <c r="M234" t="s">
        <v>117</v>
      </c>
      <c r="N234" t="s">
        <v>549</v>
      </c>
      <c r="O234" s="2" t="s">
        <v>842</v>
      </c>
    </row>
    <row r="235" spans="1:15" x14ac:dyDescent="0.25">
      <c r="A235" s="13" t="s">
        <v>115</v>
      </c>
      <c r="B235" t="s">
        <v>155</v>
      </c>
      <c r="C235" s="26" t="s">
        <v>967</v>
      </c>
      <c r="D235" s="13"/>
      <c r="E235" s="13"/>
      <c r="F235" s="14">
        <f>0.04</f>
        <v>0.04</v>
      </c>
      <c r="G235" t="s">
        <v>18</v>
      </c>
      <c r="H235" t="s">
        <v>18</v>
      </c>
      <c r="I235" t="s">
        <v>18</v>
      </c>
      <c r="K235">
        <f>0.04</f>
        <v>0.04</v>
      </c>
      <c r="L235">
        <f>0.04</f>
        <v>0.04</v>
      </c>
      <c r="M235" t="s">
        <v>117</v>
      </c>
      <c r="N235" t="s">
        <v>550</v>
      </c>
      <c r="O235" s="2" t="s">
        <v>842</v>
      </c>
    </row>
    <row r="236" spans="1:15" x14ac:dyDescent="0.25">
      <c r="A236" s="13" t="s">
        <v>115</v>
      </c>
      <c r="B236" t="s">
        <v>155</v>
      </c>
      <c r="C236" s="26" t="s">
        <v>968</v>
      </c>
      <c r="D236" s="13"/>
      <c r="E236" s="13"/>
      <c r="F236" s="14">
        <f>0.225</f>
        <v>0.22500000000000001</v>
      </c>
      <c r="G236" t="s">
        <v>18</v>
      </c>
      <c r="H236" t="s">
        <v>18</v>
      </c>
      <c r="I236" t="s">
        <v>18</v>
      </c>
      <c r="K236" s="15">
        <f>0.225</f>
        <v>0.22500000000000001</v>
      </c>
      <c r="L236" s="15">
        <f>0.225</f>
        <v>0.22500000000000001</v>
      </c>
      <c r="M236" t="s">
        <v>117</v>
      </c>
      <c r="N236" t="s">
        <v>551</v>
      </c>
      <c r="O236" s="2" t="s">
        <v>842</v>
      </c>
    </row>
    <row r="237" spans="1:15" x14ac:dyDescent="0.25">
      <c r="A237" s="13" t="s">
        <v>115</v>
      </c>
      <c r="B237" t="s">
        <v>155</v>
      </c>
      <c r="C237" s="26" t="s">
        <v>969</v>
      </c>
      <c r="D237" s="13"/>
      <c r="E237" s="13"/>
      <c r="F237" s="14">
        <f>0.01</f>
        <v>0.01</v>
      </c>
      <c r="G237" t="s">
        <v>18</v>
      </c>
      <c r="H237" t="s">
        <v>18</v>
      </c>
      <c r="K237">
        <v>0.01</v>
      </c>
      <c r="L237">
        <v>0.01</v>
      </c>
      <c r="M237" t="s">
        <v>117</v>
      </c>
      <c r="N237" t="s">
        <v>552</v>
      </c>
      <c r="O237" s="2" t="s">
        <v>842</v>
      </c>
    </row>
    <row r="238" spans="1:15" x14ac:dyDescent="0.25">
      <c r="A238" s="13" t="s">
        <v>115</v>
      </c>
      <c r="B238" t="s">
        <v>155</v>
      </c>
      <c r="C238" s="26" t="s">
        <v>970</v>
      </c>
      <c r="D238" s="13"/>
      <c r="E238" s="13"/>
      <c r="F238" s="14">
        <f>0.01</f>
        <v>0.01</v>
      </c>
      <c r="G238" t="s">
        <v>18</v>
      </c>
      <c r="H238" t="s">
        <v>18</v>
      </c>
      <c r="K238" s="15">
        <f>0.01</f>
        <v>0.01</v>
      </c>
      <c r="L238" s="15">
        <f>0.01</f>
        <v>0.01</v>
      </c>
      <c r="M238" t="s">
        <v>117</v>
      </c>
      <c r="N238" t="s">
        <v>553</v>
      </c>
      <c r="O238" s="2" t="s">
        <v>842</v>
      </c>
    </row>
    <row r="239" spans="1:15" x14ac:dyDescent="0.25">
      <c r="A239" s="13" t="s">
        <v>115</v>
      </c>
      <c r="B239" t="s">
        <v>155</v>
      </c>
      <c r="C239" s="26" t="s">
        <v>971</v>
      </c>
      <c r="D239" s="26" t="s">
        <v>971</v>
      </c>
      <c r="E239" s="13"/>
      <c r="F239" s="14">
        <f>0.15</f>
        <v>0.15</v>
      </c>
      <c r="H239" t="s">
        <v>18</v>
      </c>
      <c r="K239" s="15">
        <f>0.15</f>
        <v>0.15</v>
      </c>
      <c r="L239" s="15">
        <f>0.15</f>
        <v>0.15</v>
      </c>
      <c r="M239" t="s">
        <v>117</v>
      </c>
      <c r="N239" t="s">
        <v>554</v>
      </c>
      <c r="O239" s="2" t="s">
        <v>842</v>
      </c>
    </row>
    <row r="240" spans="1:15" x14ac:dyDescent="0.25">
      <c r="A240" s="13" t="s">
        <v>115</v>
      </c>
      <c r="B240" t="s">
        <v>155</v>
      </c>
      <c r="C240" s="26" t="s">
        <v>971</v>
      </c>
      <c r="D240" s="13" t="s">
        <v>972</v>
      </c>
      <c r="E240" s="13"/>
      <c r="F240" s="14">
        <f>0.4</f>
        <v>0.4</v>
      </c>
      <c r="H240" t="s">
        <v>18</v>
      </c>
      <c r="I240" t="s">
        <v>18</v>
      </c>
      <c r="K240" s="15">
        <f>0.4</f>
        <v>0.4</v>
      </c>
      <c r="L240" s="15">
        <f>0.4</f>
        <v>0.4</v>
      </c>
      <c r="M240" t="s">
        <v>117</v>
      </c>
      <c r="N240" t="s">
        <v>555</v>
      </c>
      <c r="O240" s="2" t="s">
        <v>842</v>
      </c>
    </row>
    <row r="241" spans="1:15" x14ac:dyDescent="0.25">
      <c r="A241" s="13" t="s">
        <v>115</v>
      </c>
      <c r="B241" t="s">
        <v>155</v>
      </c>
      <c r="C241" s="13" t="s">
        <v>973</v>
      </c>
      <c r="D241" s="13"/>
      <c r="E241" s="13"/>
      <c r="F241" s="14">
        <f>0.05</f>
        <v>0.05</v>
      </c>
      <c r="H241" t="s">
        <v>18</v>
      </c>
      <c r="I241" t="s">
        <v>18</v>
      </c>
      <c r="K241" s="15">
        <f>0.05</f>
        <v>0.05</v>
      </c>
      <c r="L241" s="15">
        <f>0.05</f>
        <v>0.05</v>
      </c>
      <c r="M241" t="s">
        <v>117</v>
      </c>
      <c r="N241" t="s">
        <v>556</v>
      </c>
      <c r="O241" s="2" t="s">
        <v>842</v>
      </c>
    </row>
    <row r="242" spans="1:15" x14ac:dyDescent="0.25">
      <c r="A242" s="13" t="s">
        <v>115</v>
      </c>
      <c r="B242" t="s">
        <v>155</v>
      </c>
      <c r="C242" s="26" t="s">
        <v>156</v>
      </c>
      <c r="D242" s="13"/>
      <c r="E242" s="13"/>
      <c r="F242" s="14">
        <f>0.5</f>
        <v>0.5</v>
      </c>
      <c r="G242" t="s">
        <v>18</v>
      </c>
      <c r="H242" t="s">
        <v>18</v>
      </c>
      <c r="I242" t="s">
        <v>18</v>
      </c>
      <c r="K242">
        <v>0.5</v>
      </c>
      <c r="L242">
        <v>0.5</v>
      </c>
      <c r="M242" t="s">
        <v>117</v>
      </c>
      <c r="N242" t="s">
        <v>557</v>
      </c>
      <c r="O242" s="2" t="s">
        <v>842</v>
      </c>
    </row>
    <row r="243" spans="1:15" x14ac:dyDescent="0.25">
      <c r="A243" s="13" t="s">
        <v>115</v>
      </c>
      <c r="B243" t="s">
        <v>155</v>
      </c>
      <c r="C243" s="26" t="s">
        <v>974</v>
      </c>
      <c r="D243" s="13"/>
      <c r="E243" s="13"/>
      <c r="F243" s="14">
        <f>0.05</f>
        <v>0.05</v>
      </c>
      <c r="G243" t="s">
        <v>18</v>
      </c>
      <c r="H243" t="s">
        <v>18</v>
      </c>
      <c r="I243" t="s">
        <v>18</v>
      </c>
      <c r="K243">
        <v>0.05</v>
      </c>
      <c r="L243">
        <v>0.05</v>
      </c>
      <c r="M243" t="s">
        <v>117</v>
      </c>
      <c r="N243" t="s">
        <v>558</v>
      </c>
      <c r="O243" s="2" t="s">
        <v>948</v>
      </c>
    </row>
    <row r="244" spans="1:15" x14ac:dyDescent="0.25">
      <c r="A244" s="13" t="s">
        <v>115</v>
      </c>
      <c r="B244" t="s">
        <v>155</v>
      </c>
      <c r="C244" s="13" t="s">
        <v>975</v>
      </c>
      <c r="D244" s="13"/>
      <c r="E244" s="13"/>
      <c r="F244" s="14">
        <f>3.5</f>
        <v>3.5</v>
      </c>
      <c r="G244" t="s">
        <v>18</v>
      </c>
      <c r="K244">
        <v>3.5</v>
      </c>
      <c r="L244">
        <v>3.5</v>
      </c>
      <c r="M244" t="s">
        <v>117</v>
      </c>
      <c r="N244" t="s">
        <v>559</v>
      </c>
      <c r="O244" s="2" t="s">
        <v>978</v>
      </c>
    </row>
    <row r="245" spans="1:15" x14ac:dyDescent="0.25">
      <c r="A245" s="13" t="s">
        <v>115</v>
      </c>
      <c r="B245" t="s">
        <v>155</v>
      </c>
      <c r="C245" s="13" t="s">
        <v>976</v>
      </c>
      <c r="D245" s="13"/>
      <c r="E245" s="13"/>
      <c r="F245" s="14">
        <v>0.5</v>
      </c>
      <c r="L245">
        <v>0.5</v>
      </c>
      <c r="M245" t="s">
        <v>157</v>
      </c>
      <c r="N245" t="s">
        <v>560</v>
      </c>
      <c r="O245" s="2" t="s">
        <v>979</v>
      </c>
    </row>
    <row r="246" spans="1:15" x14ac:dyDescent="0.25">
      <c r="A246" s="13" t="s">
        <v>115</v>
      </c>
      <c r="B246" t="s">
        <v>155</v>
      </c>
      <c r="C246" s="13" t="s">
        <v>158</v>
      </c>
      <c r="D246" s="13"/>
      <c r="E246" s="13"/>
      <c r="F246" s="14">
        <f>0.55</f>
        <v>0.55000000000000004</v>
      </c>
      <c r="G246" t="s">
        <v>18</v>
      </c>
      <c r="K246">
        <f>0.55</f>
        <v>0.55000000000000004</v>
      </c>
      <c r="L246">
        <f>0.55</f>
        <v>0.55000000000000004</v>
      </c>
      <c r="M246" t="s">
        <v>159</v>
      </c>
      <c r="N246" t="s">
        <v>561</v>
      </c>
      <c r="O246" s="2" t="s">
        <v>941</v>
      </c>
    </row>
    <row r="247" spans="1:15" x14ac:dyDescent="0.25">
      <c r="A247" s="13" t="s">
        <v>115</v>
      </c>
      <c r="B247" t="s">
        <v>155</v>
      </c>
      <c r="C247" s="13" t="s">
        <v>977</v>
      </c>
      <c r="D247" s="13"/>
      <c r="E247" s="13"/>
      <c r="F247" s="14">
        <f>0.25</f>
        <v>0.25</v>
      </c>
      <c r="G247" t="s">
        <v>18</v>
      </c>
      <c r="I247" t="s">
        <v>18</v>
      </c>
      <c r="K247">
        <v>0.25</v>
      </c>
      <c r="L247">
        <v>0.25</v>
      </c>
      <c r="M247" t="s">
        <v>117</v>
      </c>
      <c r="N247" t="s">
        <v>562</v>
      </c>
      <c r="O247" s="2" t="s">
        <v>980</v>
      </c>
    </row>
    <row r="248" spans="1:15" x14ac:dyDescent="0.25">
      <c r="A248" s="13" t="s">
        <v>115</v>
      </c>
      <c r="B248" t="s">
        <v>155</v>
      </c>
      <c r="C248" s="13" t="s">
        <v>160</v>
      </c>
      <c r="D248" s="13"/>
      <c r="E248" s="13"/>
      <c r="F248" s="14">
        <v>0.01</v>
      </c>
      <c r="G248" t="s">
        <v>18</v>
      </c>
      <c r="I248" t="s">
        <v>18</v>
      </c>
      <c r="K248">
        <v>0.01</v>
      </c>
      <c r="L248">
        <v>0.01</v>
      </c>
      <c r="M248" t="s">
        <v>117</v>
      </c>
      <c r="N248" t="s">
        <v>563</v>
      </c>
      <c r="O248" s="2" t="s">
        <v>942</v>
      </c>
    </row>
    <row r="249" spans="1:15" x14ac:dyDescent="0.25">
      <c r="A249" s="13" t="s">
        <v>115</v>
      </c>
      <c r="B249" t="s">
        <v>155</v>
      </c>
      <c r="C249" s="13" t="s">
        <v>161</v>
      </c>
      <c r="D249" s="13"/>
      <c r="E249" s="13"/>
      <c r="F249" s="14">
        <v>0.01</v>
      </c>
      <c r="G249" t="s">
        <v>18</v>
      </c>
      <c r="I249" t="s">
        <v>18</v>
      </c>
      <c r="K249">
        <v>0.01</v>
      </c>
      <c r="L249">
        <v>0.01</v>
      </c>
      <c r="M249" t="s">
        <v>117</v>
      </c>
      <c r="N249" t="s">
        <v>564</v>
      </c>
      <c r="O249" s="2" t="s">
        <v>942</v>
      </c>
    </row>
    <row r="250" spans="1:15" s="5" customFormat="1" x14ac:dyDescent="0.25">
      <c r="A250" t="s">
        <v>162</v>
      </c>
      <c r="B250" t="s">
        <v>163</v>
      </c>
      <c r="C250" s="26" t="s">
        <v>981</v>
      </c>
      <c r="D250" s="13"/>
      <c r="E250" s="13"/>
      <c r="F250" s="14">
        <v>0.5</v>
      </c>
      <c r="G250" t="s">
        <v>18</v>
      </c>
      <c r="H250"/>
      <c r="I250"/>
      <c r="J250"/>
      <c r="K250" s="41"/>
      <c r="L250" s="15">
        <v>0.5</v>
      </c>
      <c r="M250" t="s">
        <v>164</v>
      </c>
      <c r="N250" t="s">
        <v>565</v>
      </c>
      <c r="O250" s="3" t="s">
        <v>986</v>
      </c>
    </row>
    <row r="251" spans="1:15" s="5" customFormat="1" x14ac:dyDescent="0.25">
      <c r="A251" t="s">
        <v>162</v>
      </c>
      <c r="B251" t="s">
        <v>163</v>
      </c>
      <c r="C251" s="13" t="s">
        <v>982</v>
      </c>
      <c r="D251" s="13"/>
      <c r="E251" s="13"/>
      <c r="F251" s="14">
        <v>0.11799999999999999</v>
      </c>
      <c r="G251" t="s">
        <v>18</v>
      </c>
      <c r="H251"/>
      <c r="I251" t="s">
        <v>18</v>
      </c>
      <c r="J251"/>
      <c r="K251" s="41"/>
      <c r="L251" s="15">
        <v>0.11799999999999999</v>
      </c>
      <c r="M251" t="s">
        <v>164</v>
      </c>
      <c r="N251" t="s">
        <v>566</v>
      </c>
      <c r="O251" s="3" t="s">
        <v>987</v>
      </c>
    </row>
    <row r="252" spans="1:15" s="5" customFormat="1" x14ac:dyDescent="0.25">
      <c r="A252" t="s">
        <v>162</v>
      </c>
      <c r="B252" t="s">
        <v>163</v>
      </c>
      <c r="C252" s="26" t="s">
        <v>983</v>
      </c>
      <c r="D252" s="13"/>
      <c r="E252" s="13"/>
      <c r="F252" s="17">
        <v>0.4</v>
      </c>
      <c r="G252"/>
      <c r="H252"/>
      <c r="I252"/>
      <c r="J252"/>
      <c r="K252" s="41"/>
      <c r="L252">
        <v>0.4</v>
      </c>
      <c r="M252" t="s">
        <v>165</v>
      </c>
      <c r="N252" t="s">
        <v>567</v>
      </c>
      <c r="O252" s="3" t="s">
        <v>988</v>
      </c>
    </row>
    <row r="253" spans="1:15" s="5" customFormat="1" x14ac:dyDescent="0.25">
      <c r="A253" t="s">
        <v>162</v>
      </c>
      <c r="B253" t="s">
        <v>163</v>
      </c>
      <c r="C253" s="26" t="s">
        <v>984</v>
      </c>
      <c r="D253" s="13"/>
      <c r="E253" s="13"/>
      <c r="F253" s="17">
        <v>0.49099999999999999</v>
      </c>
      <c r="G253" t="s">
        <v>18</v>
      </c>
      <c r="H253"/>
      <c r="I253"/>
      <c r="J253"/>
      <c r="K253" s="41"/>
      <c r="L253">
        <v>0.49099999999999999</v>
      </c>
      <c r="M253" t="s">
        <v>165</v>
      </c>
      <c r="N253" t="s">
        <v>568</v>
      </c>
      <c r="O253" s="3" t="s">
        <v>988</v>
      </c>
    </row>
    <row r="254" spans="1:15" s="5" customFormat="1" x14ac:dyDescent="0.25">
      <c r="A254" t="s">
        <v>162</v>
      </c>
      <c r="B254" t="s">
        <v>163</v>
      </c>
      <c r="C254" s="26" t="s">
        <v>985</v>
      </c>
      <c r="D254" s="13"/>
      <c r="E254" s="13"/>
      <c r="F254" s="14">
        <v>0.17199999999999999</v>
      </c>
      <c r="G254"/>
      <c r="H254"/>
      <c r="I254" t="s">
        <v>18</v>
      </c>
      <c r="J254"/>
      <c r="K254" s="41"/>
      <c r="L254" s="15">
        <v>0.17199999999999999</v>
      </c>
      <c r="M254" t="s">
        <v>165</v>
      </c>
      <c r="N254" t="s">
        <v>569</v>
      </c>
      <c r="O254" s="3" t="s">
        <v>989</v>
      </c>
    </row>
    <row r="255" spans="1:15" s="5" customFormat="1" x14ac:dyDescent="0.25">
      <c r="A255" t="s">
        <v>162</v>
      </c>
      <c r="B255" t="s">
        <v>163</v>
      </c>
      <c r="C255" s="26" t="s">
        <v>990</v>
      </c>
      <c r="D255" s="13"/>
      <c r="E255" s="13"/>
      <c r="F255" s="17">
        <v>0.255</v>
      </c>
      <c r="G255"/>
      <c r="H255"/>
      <c r="I255"/>
      <c r="J255"/>
      <c r="K255" s="41"/>
      <c r="L255">
        <v>0.255</v>
      </c>
      <c r="M255" t="s">
        <v>166</v>
      </c>
      <c r="N255" t="s">
        <v>570</v>
      </c>
      <c r="O255" s="3" t="s">
        <v>842</v>
      </c>
    </row>
    <row r="256" spans="1:15" s="5" customFormat="1" x14ac:dyDescent="0.25">
      <c r="A256" t="s">
        <v>162</v>
      </c>
      <c r="B256" t="s">
        <v>163</v>
      </c>
      <c r="C256" s="26" t="s">
        <v>991</v>
      </c>
      <c r="D256" s="13"/>
      <c r="E256" s="13"/>
      <c r="F256" s="17">
        <v>0.2</v>
      </c>
      <c r="G256"/>
      <c r="H256"/>
      <c r="I256"/>
      <c r="J256"/>
      <c r="K256" s="41"/>
      <c r="L256">
        <v>0.2</v>
      </c>
      <c r="M256" t="s">
        <v>166</v>
      </c>
      <c r="N256" t="s">
        <v>571</v>
      </c>
      <c r="O256" s="3" t="s">
        <v>842</v>
      </c>
    </row>
    <row r="257" spans="1:15" x14ac:dyDescent="0.25">
      <c r="A257" t="s">
        <v>162</v>
      </c>
      <c r="B257" t="s">
        <v>163</v>
      </c>
      <c r="C257" s="13" t="s">
        <v>167</v>
      </c>
      <c r="D257" s="13" t="s">
        <v>168</v>
      </c>
      <c r="E257" s="13"/>
      <c r="F257" s="17">
        <v>1</v>
      </c>
      <c r="G257" s="42"/>
      <c r="H257" s="42"/>
      <c r="I257" s="42"/>
      <c r="L257" s="17">
        <v>1</v>
      </c>
      <c r="M257" t="s">
        <v>21</v>
      </c>
      <c r="N257" t="s">
        <v>572</v>
      </c>
      <c r="O257" s="2" t="s">
        <v>1003</v>
      </c>
    </row>
    <row r="258" spans="1:15" x14ac:dyDescent="0.25">
      <c r="A258" t="s">
        <v>162</v>
      </c>
      <c r="B258" t="s">
        <v>163</v>
      </c>
      <c r="C258" s="13" t="s">
        <v>167</v>
      </c>
      <c r="D258" s="13" t="s">
        <v>992</v>
      </c>
      <c r="E258" s="13"/>
      <c r="F258" s="17">
        <v>0.23799999999999999</v>
      </c>
      <c r="G258" s="42"/>
      <c r="H258" s="42"/>
      <c r="I258" s="42"/>
      <c r="L258" s="17">
        <v>0.23799999999999999</v>
      </c>
      <c r="M258" t="s">
        <v>21</v>
      </c>
      <c r="N258" t="s">
        <v>573</v>
      </c>
      <c r="O258" s="2" t="s">
        <v>1004</v>
      </c>
    </row>
    <row r="259" spans="1:15" x14ac:dyDescent="0.25">
      <c r="A259" t="s">
        <v>162</v>
      </c>
      <c r="B259" t="s">
        <v>163</v>
      </c>
      <c r="C259" s="13" t="s">
        <v>167</v>
      </c>
      <c r="D259" s="13" t="s">
        <v>993</v>
      </c>
      <c r="E259" s="13"/>
      <c r="F259" s="17">
        <v>2.4E-2</v>
      </c>
      <c r="G259" s="42"/>
      <c r="H259" s="42"/>
      <c r="I259" s="42"/>
      <c r="L259" s="17">
        <v>2.4E-2</v>
      </c>
      <c r="M259" t="s">
        <v>21</v>
      </c>
      <c r="N259" t="s">
        <v>574</v>
      </c>
      <c r="O259" s="2" t="s">
        <v>1005</v>
      </c>
    </row>
    <row r="260" spans="1:15" x14ac:dyDescent="0.25">
      <c r="A260" t="s">
        <v>162</v>
      </c>
      <c r="B260" t="s">
        <v>163</v>
      </c>
      <c r="C260" s="13" t="s">
        <v>167</v>
      </c>
      <c r="D260" s="13" t="s">
        <v>994</v>
      </c>
      <c r="E260" s="13"/>
      <c r="F260" s="17">
        <v>8.8999999999999996E-2</v>
      </c>
      <c r="G260" s="42"/>
      <c r="H260" s="42"/>
      <c r="I260" s="42"/>
      <c r="L260" s="17">
        <v>8.8999999999999996E-2</v>
      </c>
      <c r="M260" t="s">
        <v>21</v>
      </c>
      <c r="N260" t="s">
        <v>575</v>
      </c>
      <c r="O260" s="2" t="s">
        <v>1006</v>
      </c>
    </row>
    <row r="261" spans="1:15" x14ac:dyDescent="0.25">
      <c r="A261" t="s">
        <v>162</v>
      </c>
      <c r="B261" t="s">
        <v>163</v>
      </c>
      <c r="C261" s="13" t="s">
        <v>167</v>
      </c>
      <c r="D261" s="13" t="s">
        <v>995</v>
      </c>
      <c r="E261" s="13"/>
      <c r="F261" s="17">
        <v>0.106</v>
      </c>
      <c r="G261" s="42"/>
      <c r="H261" s="42"/>
      <c r="I261" s="42"/>
      <c r="L261" s="17">
        <v>0.106</v>
      </c>
      <c r="M261" t="s">
        <v>21</v>
      </c>
      <c r="N261" t="s">
        <v>576</v>
      </c>
      <c r="O261" s="2" t="s">
        <v>1005</v>
      </c>
    </row>
    <row r="262" spans="1:15" x14ac:dyDescent="0.25">
      <c r="A262" t="s">
        <v>162</v>
      </c>
      <c r="B262" t="s">
        <v>163</v>
      </c>
      <c r="C262" s="13" t="s">
        <v>167</v>
      </c>
      <c r="D262" s="13" t="s">
        <v>996</v>
      </c>
      <c r="E262" s="13"/>
      <c r="F262" s="17">
        <v>5.2999999999999999E-2</v>
      </c>
      <c r="G262" s="42"/>
      <c r="H262" s="42"/>
      <c r="I262" s="42"/>
      <c r="L262" s="17">
        <v>5.2999999999999999E-2</v>
      </c>
      <c r="M262" t="s">
        <v>21</v>
      </c>
      <c r="N262" t="s">
        <v>577</v>
      </c>
      <c r="O262" s="2" t="s">
        <v>1005</v>
      </c>
    </row>
    <row r="263" spans="1:15" x14ac:dyDescent="0.25">
      <c r="A263" t="s">
        <v>162</v>
      </c>
      <c r="B263" t="s">
        <v>163</v>
      </c>
      <c r="C263" s="13" t="s">
        <v>167</v>
      </c>
      <c r="D263" s="13" t="s">
        <v>997</v>
      </c>
      <c r="E263" s="13"/>
      <c r="F263" s="17">
        <v>1.6E-2</v>
      </c>
      <c r="G263" s="42"/>
      <c r="H263" s="42"/>
      <c r="I263" s="42"/>
      <c r="L263" s="17">
        <v>1.6E-2</v>
      </c>
      <c r="M263" t="s">
        <v>21</v>
      </c>
      <c r="N263" t="s">
        <v>578</v>
      </c>
      <c r="O263" s="2" t="s">
        <v>1005</v>
      </c>
    </row>
    <row r="264" spans="1:15" x14ac:dyDescent="0.25">
      <c r="A264" t="s">
        <v>162</v>
      </c>
      <c r="B264" t="s">
        <v>163</v>
      </c>
      <c r="C264" s="13" t="s">
        <v>167</v>
      </c>
      <c r="D264" s="13" t="s">
        <v>998</v>
      </c>
      <c r="E264" s="13"/>
      <c r="F264" s="17">
        <v>0.04</v>
      </c>
      <c r="G264" s="42"/>
      <c r="H264" s="42"/>
      <c r="I264" s="42"/>
      <c r="L264" s="17">
        <v>0.04</v>
      </c>
      <c r="M264" t="s">
        <v>21</v>
      </c>
      <c r="N264" t="s">
        <v>579</v>
      </c>
      <c r="O264" s="2" t="s">
        <v>1005</v>
      </c>
    </row>
    <row r="265" spans="1:15" x14ac:dyDescent="0.25">
      <c r="A265" t="s">
        <v>162</v>
      </c>
      <c r="B265" t="s">
        <v>163</v>
      </c>
      <c r="C265" s="13" t="s">
        <v>167</v>
      </c>
      <c r="D265" s="13" t="s">
        <v>999</v>
      </c>
      <c r="E265" s="13"/>
      <c r="F265" s="17">
        <v>5.2999999999999999E-2</v>
      </c>
      <c r="G265" s="42"/>
      <c r="H265" s="42"/>
      <c r="I265" s="42"/>
      <c r="L265" s="17">
        <v>5.2999999999999999E-2</v>
      </c>
      <c r="M265" t="s">
        <v>21</v>
      </c>
      <c r="N265" t="s">
        <v>580</v>
      </c>
      <c r="O265" s="2" t="s">
        <v>1005</v>
      </c>
    </row>
    <row r="266" spans="1:15" x14ac:dyDescent="0.25">
      <c r="A266" t="s">
        <v>162</v>
      </c>
      <c r="B266" t="s">
        <v>163</v>
      </c>
      <c r="C266" s="13" t="s">
        <v>167</v>
      </c>
      <c r="D266" s="13" t="s">
        <v>1000</v>
      </c>
      <c r="E266" s="13"/>
      <c r="F266" s="17">
        <v>1.4999999999999999E-2</v>
      </c>
      <c r="G266" s="42"/>
      <c r="H266" s="42"/>
      <c r="I266" s="42"/>
      <c r="L266" s="17">
        <v>1.4999999999999999E-2</v>
      </c>
      <c r="M266" t="s">
        <v>21</v>
      </c>
      <c r="N266" t="s">
        <v>581</v>
      </c>
      <c r="O266" s="2" t="s">
        <v>1005</v>
      </c>
    </row>
    <row r="267" spans="1:15" x14ac:dyDescent="0.25">
      <c r="A267" t="s">
        <v>162</v>
      </c>
      <c r="B267" t="s">
        <v>163</v>
      </c>
      <c r="C267" s="13" t="s">
        <v>167</v>
      </c>
      <c r="D267" s="13" t="s">
        <v>1001</v>
      </c>
      <c r="E267" s="13"/>
      <c r="F267" s="17">
        <v>7.9000000000000001E-2</v>
      </c>
      <c r="G267" s="42"/>
      <c r="H267" s="42"/>
      <c r="I267" s="42"/>
      <c r="L267" s="17">
        <v>7.9000000000000001E-2</v>
      </c>
      <c r="M267" t="s">
        <v>21</v>
      </c>
      <c r="N267" t="s">
        <v>582</v>
      </c>
      <c r="O267" s="2" t="s">
        <v>1005</v>
      </c>
    </row>
    <row r="268" spans="1:15" x14ac:dyDescent="0.25">
      <c r="A268" t="s">
        <v>162</v>
      </c>
      <c r="B268" t="s">
        <v>163</v>
      </c>
      <c r="C268" s="13" t="s">
        <v>167</v>
      </c>
      <c r="D268" s="13" t="s">
        <v>1002</v>
      </c>
      <c r="E268" s="13"/>
      <c r="F268" s="17">
        <v>4.0000000000000001E-3</v>
      </c>
      <c r="G268" s="42"/>
      <c r="H268" s="42"/>
      <c r="I268" s="42"/>
      <c r="L268" s="17">
        <v>4.0000000000000001E-3</v>
      </c>
      <c r="M268" t="s">
        <v>21</v>
      </c>
      <c r="N268" t="s">
        <v>583</v>
      </c>
      <c r="O268" s="2" t="s">
        <v>1005</v>
      </c>
    </row>
    <row r="269" spans="1:15" x14ac:dyDescent="0.25">
      <c r="A269" t="s">
        <v>162</v>
      </c>
      <c r="B269" t="s">
        <v>163</v>
      </c>
      <c r="C269" s="13" t="s">
        <v>169</v>
      </c>
      <c r="D269" s="13"/>
      <c r="E269" s="13"/>
      <c r="F269" s="17">
        <v>0.13200000000000001</v>
      </c>
      <c r="G269" s="42"/>
      <c r="H269" s="42"/>
      <c r="I269" s="42"/>
      <c r="L269" s="43">
        <v>0.13200000000000001</v>
      </c>
      <c r="M269" t="s">
        <v>21</v>
      </c>
      <c r="N269" t="s">
        <v>584</v>
      </c>
      <c r="O269" s="2" t="s">
        <v>1007</v>
      </c>
    </row>
    <row r="270" spans="1:15" x14ac:dyDescent="0.25">
      <c r="A270" t="s">
        <v>162</v>
      </c>
      <c r="B270" t="s">
        <v>163</v>
      </c>
      <c r="C270" s="13" t="s">
        <v>170</v>
      </c>
      <c r="D270" s="13"/>
      <c r="E270" s="13"/>
      <c r="F270" s="17">
        <v>0.06</v>
      </c>
      <c r="G270" s="42"/>
      <c r="H270" s="42"/>
      <c r="I270" s="42"/>
      <c r="L270" s="43">
        <v>0.06</v>
      </c>
      <c r="M270" t="s">
        <v>21</v>
      </c>
      <c r="N270" t="s">
        <v>585</v>
      </c>
      <c r="O270" s="2" t="s">
        <v>1011</v>
      </c>
    </row>
    <row r="271" spans="1:15" x14ac:dyDescent="0.25">
      <c r="A271" t="s">
        <v>162</v>
      </c>
      <c r="B271" t="s">
        <v>163</v>
      </c>
      <c r="C271" s="13" t="s">
        <v>171</v>
      </c>
      <c r="F271" s="17">
        <v>1.9</v>
      </c>
      <c r="K271" s="15"/>
      <c r="L271">
        <v>1.9</v>
      </c>
      <c r="M271" t="s">
        <v>114</v>
      </c>
      <c r="N271" t="s">
        <v>586</v>
      </c>
      <c r="O271" s="2" t="s">
        <v>870</v>
      </c>
    </row>
    <row r="272" spans="1:15" s="5" customFormat="1" x14ac:dyDescent="0.25">
      <c r="A272" t="s">
        <v>162</v>
      </c>
      <c r="B272" t="s">
        <v>172</v>
      </c>
      <c r="C272" s="13" t="s">
        <v>1008</v>
      </c>
      <c r="D272" s="13"/>
      <c r="E272" s="13"/>
      <c r="F272" s="14">
        <v>0.3</v>
      </c>
      <c r="G272" t="s">
        <v>18</v>
      </c>
      <c r="H272"/>
      <c r="I272"/>
      <c r="J272"/>
      <c r="K272" s="41"/>
      <c r="L272" s="15">
        <v>0.3</v>
      </c>
      <c r="M272" t="s">
        <v>164</v>
      </c>
      <c r="N272" t="s">
        <v>587</v>
      </c>
      <c r="O272" s="3" t="s">
        <v>1012</v>
      </c>
    </row>
    <row r="273" spans="1:15" s="5" customFormat="1" x14ac:dyDescent="0.25">
      <c r="A273" t="s">
        <v>162</v>
      </c>
      <c r="B273" t="s">
        <v>172</v>
      </c>
      <c r="C273" s="13" t="s">
        <v>173</v>
      </c>
      <c r="D273" s="13"/>
      <c r="E273" s="13"/>
      <c r="F273" s="17">
        <v>0.49199999999999999</v>
      </c>
      <c r="G273" t="s">
        <v>18</v>
      </c>
      <c r="H273"/>
      <c r="I273"/>
      <c r="J273"/>
      <c r="K273" s="41"/>
      <c r="L273">
        <v>0.49199999999999999</v>
      </c>
      <c r="M273" t="s">
        <v>165</v>
      </c>
      <c r="N273" t="s">
        <v>588</v>
      </c>
      <c r="O273" s="3" t="s">
        <v>1013</v>
      </c>
    </row>
    <row r="274" spans="1:15" x14ac:dyDescent="0.25">
      <c r="A274" t="s">
        <v>162</v>
      </c>
      <c r="B274" t="s">
        <v>172</v>
      </c>
      <c r="C274" s="26" t="s">
        <v>1009</v>
      </c>
      <c r="D274" s="42"/>
      <c r="E274" s="42"/>
      <c r="F274" s="14">
        <v>1</v>
      </c>
      <c r="G274" s="42" t="s">
        <v>18</v>
      </c>
      <c r="H274" s="42"/>
      <c r="I274" s="42" t="s">
        <v>18</v>
      </c>
      <c r="L274" s="15">
        <v>1</v>
      </c>
      <c r="M274" t="s">
        <v>174</v>
      </c>
      <c r="N274" t="s">
        <v>589</v>
      </c>
      <c r="O274" s="2" t="s">
        <v>1014</v>
      </c>
    </row>
    <row r="275" spans="1:15" x14ac:dyDescent="0.25">
      <c r="A275" t="s">
        <v>162</v>
      </c>
      <c r="B275" t="s">
        <v>172</v>
      </c>
      <c r="C275" s="26" t="s">
        <v>1010</v>
      </c>
      <c r="D275" s="42"/>
      <c r="E275" s="42"/>
      <c r="F275" s="14">
        <v>3.5</v>
      </c>
      <c r="G275" s="42" t="s">
        <v>18</v>
      </c>
      <c r="H275" s="42"/>
      <c r="I275" s="42"/>
      <c r="L275" s="15">
        <v>3.5</v>
      </c>
      <c r="M275" t="s">
        <v>174</v>
      </c>
      <c r="N275" t="s">
        <v>590</v>
      </c>
      <c r="O275" s="2" t="s">
        <v>1015</v>
      </c>
    </row>
    <row r="276" spans="1:15" x14ac:dyDescent="0.25">
      <c r="A276" t="s">
        <v>162</v>
      </c>
      <c r="B276" t="s">
        <v>172</v>
      </c>
      <c r="C276" s="13" t="s">
        <v>175</v>
      </c>
      <c r="F276" s="17">
        <v>4.4999999999999998E-2</v>
      </c>
      <c r="G276" t="s">
        <v>18</v>
      </c>
      <c r="K276" s="15"/>
      <c r="L276">
        <v>4.4999999999999998E-2</v>
      </c>
      <c r="M276" t="s">
        <v>114</v>
      </c>
      <c r="N276" t="s">
        <v>591</v>
      </c>
      <c r="O276" s="2" t="s">
        <v>1016</v>
      </c>
    </row>
    <row r="277" spans="1:15" x14ac:dyDescent="0.25">
      <c r="A277" t="s">
        <v>162</v>
      </c>
      <c r="B277" t="s">
        <v>172</v>
      </c>
      <c r="C277" s="13" t="s">
        <v>176</v>
      </c>
      <c r="F277" s="17">
        <v>0.46500000000000002</v>
      </c>
      <c r="G277" t="s">
        <v>18</v>
      </c>
      <c r="K277" s="15"/>
      <c r="L277">
        <v>0.46500000000000002</v>
      </c>
      <c r="M277" t="s">
        <v>114</v>
      </c>
      <c r="N277" t="s">
        <v>592</v>
      </c>
      <c r="O277" s="2" t="s">
        <v>842</v>
      </c>
    </row>
    <row r="278" spans="1:15" x14ac:dyDescent="0.25">
      <c r="A278" t="s">
        <v>162</v>
      </c>
      <c r="B278" t="s">
        <v>172</v>
      </c>
      <c r="C278" s="13" t="s">
        <v>177</v>
      </c>
      <c r="F278" s="17">
        <v>2.5</v>
      </c>
      <c r="G278" t="s">
        <v>18</v>
      </c>
      <c r="K278" s="15"/>
      <c r="L278">
        <v>2.5</v>
      </c>
      <c r="M278" t="s">
        <v>114</v>
      </c>
      <c r="N278" t="s">
        <v>593</v>
      </c>
      <c r="O278" s="2" t="s">
        <v>870</v>
      </c>
    </row>
    <row r="279" spans="1:15" x14ac:dyDescent="0.25">
      <c r="A279" t="s">
        <v>162</v>
      </c>
      <c r="B279" t="s">
        <v>172</v>
      </c>
      <c r="C279" s="13" t="s">
        <v>178</v>
      </c>
      <c r="F279" s="14">
        <v>0.251</v>
      </c>
      <c r="G279" t="s">
        <v>18</v>
      </c>
      <c r="K279" s="15"/>
      <c r="L279" s="15">
        <v>0.251</v>
      </c>
      <c r="M279" t="s">
        <v>114</v>
      </c>
      <c r="N279" t="s">
        <v>594</v>
      </c>
      <c r="O279" s="2" t="s">
        <v>872</v>
      </c>
    </row>
    <row r="280" spans="1:15" s="5" customFormat="1" x14ac:dyDescent="0.25">
      <c r="A280" t="s">
        <v>162</v>
      </c>
      <c r="B280" t="s">
        <v>179</v>
      </c>
      <c r="C280" s="13" t="s">
        <v>1017</v>
      </c>
      <c r="D280" s="13"/>
      <c r="E280" s="13"/>
      <c r="F280" s="17">
        <v>0.49199999999999999</v>
      </c>
      <c r="G280" t="s">
        <v>18</v>
      </c>
      <c r="H280"/>
      <c r="I280" t="s">
        <v>18</v>
      </c>
      <c r="J280"/>
      <c r="K280" s="41"/>
      <c r="L280">
        <v>0.49199999999999999</v>
      </c>
      <c r="M280" t="s">
        <v>165</v>
      </c>
      <c r="N280" t="s">
        <v>595</v>
      </c>
      <c r="O280" s="3" t="s">
        <v>1020</v>
      </c>
    </row>
    <row r="281" spans="1:15" s="5" customFormat="1" x14ac:dyDescent="0.25">
      <c r="A281" t="s">
        <v>162</v>
      </c>
      <c r="B281" t="s">
        <v>179</v>
      </c>
      <c r="C281" s="13" t="s">
        <v>1018</v>
      </c>
      <c r="D281" s="13"/>
      <c r="E281" s="13"/>
      <c r="F281" s="17">
        <f>0.025+0.001</f>
        <v>2.6000000000000002E-2</v>
      </c>
      <c r="G281" t="s">
        <v>18</v>
      </c>
      <c r="H281"/>
      <c r="I281"/>
      <c r="J281"/>
      <c r="K281" s="41"/>
      <c r="L281" s="17">
        <f>0.025+0.001</f>
        <v>2.6000000000000002E-2</v>
      </c>
      <c r="M281" t="s">
        <v>165</v>
      </c>
      <c r="N281" t="s">
        <v>596</v>
      </c>
      <c r="O281" s="3" t="s">
        <v>1021</v>
      </c>
    </row>
    <row r="282" spans="1:15" s="5" customFormat="1" x14ac:dyDescent="0.25">
      <c r="A282" t="s">
        <v>162</v>
      </c>
      <c r="B282" t="s">
        <v>179</v>
      </c>
      <c r="C282" s="13" t="s">
        <v>180</v>
      </c>
      <c r="D282" s="13"/>
      <c r="E282" s="13"/>
      <c r="F282" s="17">
        <v>0.15</v>
      </c>
      <c r="G282"/>
      <c r="H282"/>
      <c r="I282"/>
      <c r="J282"/>
      <c r="K282" s="41"/>
      <c r="L282">
        <v>0.15</v>
      </c>
      <c r="M282" t="s">
        <v>165</v>
      </c>
      <c r="N282" t="s">
        <v>597</v>
      </c>
      <c r="O282" s="3" t="s">
        <v>842</v>
      </c>
    </row>
    <row r="283" spans="1:15" s="5" customFormat="1" x14ac:dyDescent="0.25">
      <c r="A283" t="s">
        <v>162</v>
      </c>
      <c r="B283" t="s">
        <v>179</v>
      </c>
      <c r="C283" s="13" t="s">
        <v>181</v>
      </c>
      <c r="D283" s="13"/>
      <c r="E283" s="13"/>
      <c r="F283" s="17">
        <v>0.05</v>
      </c>
      <c r="G283"/>
      <c r="H283"/>
      <c r="I283"/>
      <c r="J283"/>
      <c r="K283" s="41"/>
      <c r="L283">
        <v>0.05</v>
      </c>
      <c r="M283" t="s">
        <v>165</v>
      </c>
      <c r="N283" t="s">
        <v>598</v>
      </c>
      <c r="O283" s="3" t="s">
        <v>842</v>
      </c>
    </row>
    <row r="284" spans="1:15" s="5" customFormat="1" x14ac:dyDescent="0.25">
      <c r="A284" t="s">
        <v>162</v>
      </c>
      <c r="B284" t="s">
        <v>179</v>
      </c>
      <c r="C284" s="13" t="s">
        <v>1019</v>
      </c>
      <c r="D284" s="13"/>
      <c r="E284" s="13"/>
      <c r="F284" s="17">
        <v>0.20699999999999999</v>
      </c>
      <c r="G284"/>
      <c r="H284"/>
      <c r="I284"/>
      <c r="J284"/>
      <c r="K284" s="41"/>
      <c r="L284">
        <v>0.20699999999999999</v>
      </c>
      <c r="M284" t="s">
        <v>165</v>
      </c>
      <c r="N284" t="s">
        <v>599</v>
      </c>
      <c r="O284" s="3" t="s">
        <v>988</v>
      </c>
    </row>
    <row r="285" spans="1:15" s="5" customFormat="1" x14ac:dyDescent="0.25">
      <c r="A285" t="s">
        <v>162</v>
      </c>
      <c r="B285" t="s">
        <v>179</v>
      </c>
      <c r="C285" s="13" t="s">
        <v>182</v>
      </c>
      <c r="D285" s="13"/>
      <c r="E285" s="13"/>
      <c r="F285" s="17">
        <f>L285</f>
        <v>0.15000000000000002</v>
      </c>
      <c r="G285" t="s">
        <v>18</v>
      </c>
      <c r="H285"/>
      <c r="I285"/>
      <c r="J285"/>
      <c r="K285" s="41"/>
      <c r="L285">
        <f>0.1+0.05</f>
        <v>0.15000000000000002</v>
      </c>
      <c r="M285" t="s">
        <v>165</v>
      </c>
      <c r="N285" t="s">
        <v>600</v>
      </c>
      <c r="O285" s="3" t="s">
        <v>988</v>
      </c>
    </row>
    <row r="286" spans="1:15" s="5" customFormat="1" x14ac:dyDescent="0.25">
      <c r="A286" t="s">
        <v>162</v>
      </c>
      <c r="B286" t="s">
        <v>179</v>
      </c>
      <c r="C286" s="13" t="s">
        <v>183</v>
      </c>
      <c r="D286" s="13"/>
      <c r="E286" s="13"/>
      <c r="F286" s="17">
        <v>5.6000000000000001E-2</v>
      </c>
      <c r="G286"/>
      <c r="H286"/>
      <c r="I286"/>
      <c r="J286"/>
      <c r="K286" s="41"/>
      <c r="L286">
        <v>5.6000000000000001E-2</v>
      </c>
      <c r="M286" t="s">
        <v>165</v>
      </c>
      <c r="N286" t="s">
        <v>601</v>
      </c>
      <c r="O286" s="3" t="s">
        <v>1022</v>
      </c>
    </row>
    <row r="287" spans="1:15" s="5" customFormat="1" x14ac:dyDescent="0.25">
      <c r="A287" t="s">
        <v>162</v>
      </c>
      <c r="B287" t="s">
        <v>179</v>
      </c>
      <c r="C287" s="13" t="s">
        <v>1023</v>
      </c>
      <c r="D287" s="13"/>
      <c r="E287" s="13"/>
      <c r="F287" s="17">
        <v>0.02</v>
      </c>
      <c r="G287"/>
      <c r="H287"/>
      <c r="I287"/>
      <c r="J287"/>
      <c r="K287" s="41"/>
      <c r="L287">
        <v>0.02</v>
      </c>
      <c r="M287" t="s">
        <v>165</v>
      </c>
      <c r="N287" t="s">
        <v>602</v>
      </c>
      <c r="O287" s="3" t="s">
        <v>988</v>
      </c>
    </row>
    <row r="288" spans="1:15" s="5" customFormat="1" x14ac:dyDescent="0.25">
      <c r="A288" t="s">
        <v>162</v>
      </c>
      <c r="B288" t="s">
        <v>179</v>
      </c>
      <c r="C288" s="13" t="s">
        <v>184</v>
      </c>
      <c r="D288" s="13"/>
      <c r="E288" s="13"/>
      <c r="F288" s="17">
        <v>0.08</v>
      </c>
      <c r="G288" t="s">
        <v>18</v>
      </c>
      <c r="H288"/>
      <c r="I288"/>
      <c r="J288"/>
      <c r="K288" s="41"/>
      <c r="L288">
        <v>0.08</v>
      </c>
      <c r="M288" t="s">
        <v>165</v>
      </c>
      <c r="N288" t="s">
        <v>603</v>
      </c>
      <c r="O288" s="3" t="s">
        <v>1013</v>
      </c>
    </row>
    <row r="289" spans="1:15" s="5" customFormat="1" x14ac:dyDescent="0.25">
      <c r="A289" t="s">
        <v>162</v>
      </c>
      <c r="B289" t="s">
        <v>179</v>
      </c>
      <c r="C289" s="13" t="s">
        <v>185</v>
      </c>
      <c r="D289" s="13"/>
      <c r="E289" s="13"/>
      <c r="F289" s="14">
        <v>7.6999999999999999E-2</v>
      </c>
      <c r="G289"/>
      <c r="H289"/>
      <c r="I289"/>
      <c r="J289"/>
      <c r="K289" s="41"/>
      <c r="L289" s="15">
        <v>7.6999999999999999E-2</v>
      </c>
      <c r="M289" t="s">
        <v>165</v>
      </c>
      <c r="N289" t="s">
        <v>604</v>
      </c>
      <c r="O289" s="3" t="s">
        <v>1024</v>
      </c>
    </row>
    <row r="290" spans="1:15" x14ac:dyDescent="0.25">
      <c r="A290" t="s">
        <v>162</v>
      </c>
      <c r="B290" t="s">
        <v>179</v>
      </c>
      <c r="C290" s="13" t="s">
        <v>186</v>
      </c>
      <c r="F290" s="17">
        <v>2.5499999999999998</v>
      </c>
      <c r="G290" t="s">
        <v>18</v>
      </c>
      <c r="K290" s="15"/>
      <c r="L290">
        <v>2.5499999999999998</v>
      </c>
      <c r="M290" t="s">
        <v>114</v>
      </c>
      <c r="N290" t="s">
        <v>605</v>
      </c>
      <c r="O290" s="2" t="s">
        <v>842</v>
      </c>
    </row>
    <row r="291" spans="1:15" x14ac:dyDescent="0.25">
      <c r="A291" t="s">
        <v>162</v>
      </c>
      <c r="B291" t="s">
        <v>187</v>
      </c>
      <c r="C291" s="16" t="s">
        <v>188</v>
      </c>
      <c r="F291" s="14">
        <v>1.1499999999999999</v>
      </c>
      <c r="H291" t="s">
        <v>18</v>
      </c>
      <c r="K291" s="15">
        <v>1.1499999999999999</v>
      </c>
      <c r="L291" s="15">
        <v>1.1499999999999999</v>
      </c>
      <c r="M291" t="s">
        <v>189</v>
      </c>
      <c r="N291" t="s">
        <v>606</v>
      </c>
      <c r="O291" s="2" t="s">
        <v>842</v>
      </c>
    </row>
    <row r="292" spans="1:15" s="57" customFormat="1" x14ac:dyDescent="0.25">
      <c r="A292" s="58" t="s">
        <v>162</v>
      </c>
      <c r="B292" s="58" t="s">
        <v>187</v>
      </c>
      <c r="C292" s="60" t="s">
        <v>190</v>
      </c>
      <c r="D292" s="58"/>
      <c r="E292" s="58"/>
      <c r="F292" s="20">
        <v>3.2</v>
      </c>
      <c r="G292" s="58"/>
      <c r="H292" s="58"/>
      <c r="I292" s="58" t="s">
        <v>18</v>
      </c>
      <c r="J292" s="58"/>
      <c r="K292" s="18">
        <v>3.2</v>
      </c>
      <c r="L292" s="18">
        <v>3.2</v>
      </c>
      <c r="M292" s="58" t="s">
        <v>189</v>
      </c>
      <c r="N292" s="58" t="s">
        <v>607</v>
      </c>
      <c r="O292" s="57" t="s">
        <v>1025</v>
      </c>
    </row>
    <row r="293" spans="1:15" x14ac:dyDescent="0.25">
      <c r="A293" t="s">
        <v>162</v>
      </c>
      <c r="B293" t="s">
        <v>187</v>
      </c>
      <c r="C293" s="16" t="s">
        <v>191</v>
      </c>
      <c r="F293" s="14">
        <v>1</v>
      </c>
      <c r="K293" s="15">
        <v>1</v>
      </c>
      <c r="L293" s="15">
        <v>1</v>
      </c>
      <c r="M293" t="s">
        <v>189</v>
      </c>
      <c r="N293" t="s">
        <v>608</v>
      </c>
      <c r="O293" s="2" t="s">
        <v>1026</v>
      </c>
    </row>
    <row r="294" spans="1:15" x14ac:dyDescent="0.25">
      <c r="A294" t="s">
        <v>162</v>
      </c>
      <c r="B294" t="s">
        <v>187</v>
      </c>
      <c r="C294" s="16" t="s">
        <v>1027</v>
      </c>
      <c r="F294" s="14">
        <v>1</v>
      </c>
      <c r="G294" t="s">
        <v>18</v>
      </c>
      <c r="I294" t="s">
        <v>18</v>
      </c>
      <c r="K294" s="15">
        <v>1</v>
      </c>
      <c r="L294" s="15">
        <v>1</v>
      </c>
      <c r="M294" t="s">
        <v>189</v>
      </c>
      <c r="N294" t="s">
        <v>609</v>
      </c>
      <c r="O294" s="2" t="s">
        <v>1026</v>
      </c>
    </row>
    <row r="295" spans="1:15" x14ac:dyDescent="0.25">
      <c r="A295" t="s">
        <v>162</v>
      </c>
      <c r="B295" t="s">
        <v>187</v>
      </c>
      <c r="C295" s="16" t="s">
        <v>1028</v>
      </c>
      <c r="F295" s="14">
        <f>0.25</f>
        <v>0.25</v>
      </c>
      <c r="G295" t="s">
        <v>18</v>
      </c>
      <c r="I295" t="s">
        <v>18</v>
      </c>
      <c r="K295" s="15">
        <f>0.25</f>
        <v>0.25</v>
      </c>
      <c r="L295" s="15">
        <f>0.25</f>
        <v>0.25</v>
      </c>
      <c r="M295" t="s">
        <v>189</v>
      </c>
      <c r="N295" t="s">
        <v>610</v>
      </c>
      <c r="O295" s="2" t="s">
        <v>1026</v>
      </c>
    </row>
    <row r="296" spans="1:15" x14ac:dyDescent="0.25">
      <c r="A296" t="s">
        <v>162</v>
      </c>
      <c r="B296" t="s">
        <v>187</v>
      </c>
      <c r="C296" s="16" t="s">
        <v>1029</v>
      </c>
      <c r="F296" s="14">
        <f>0.5</f>
        <v>0.5</v>
      </c>
      <c r="K296" s="15">
        <f>0.5</f>
        <v>0.5</v>
      </c>
      <c r="L296" s="15">
        <f>0.5</f>
        <v>0.5</v>
      </c>
      <c r="M296" t="s">
        <v>189</v>
      </c>
      <c r="N296" t="s">
        <v>611</v>
      </c>
      <c r="O296" s="2" t="s">
        <v>1026</v>
      </c>
    </row>
    <row r="297" spans="1:15" x14ac:dyDescent="0.25">
      <c r="A297" t="s">
        <v>162</v>
      </c>
      <c r="B297" t="s">
        <v>187</v>
      </c>
      <c r="C297" s="16" t="s">
        <v>192</v>
      </c>
      <c r="F297" s="14">
        <v>0.4</v>
      </c>
      <c r="G297" t="s">
        <v>18</v>
      </c>
      <c r="I297" t="s">
        <v>18</v>
      </c>
      <c r="K297" s="15">
        <v>0.4</v>
      </c>
      <c r="L297" s="15">
        <v>0.4</v>
      </c>
      <c r="M297" t="s">
        <v>189</v>
      </c>
      <c r="N297" t="s">
        <v>612</v>
      </c>
      <c r="O297" s="2" t="s">
        <v>1030</v>
      </c>
    </row>
    <row r="298" spans="1:15" x14ac:dyDescent="0.25">
      <c r="A298" t="s">
        <v>162</v>
      </c>
      <c r="B298" t="s">
        <v>187</v>
      </c>
      <c r="C298" s="16" t="s">
        <v>1032</v>
      </c>
      <c r="F298" s="14">
        <v>0.3</v>
      </c>
      <c r="G298" t="s">
        <v>18</v>
      </c>
      <c r="K298" s="15">
        <v>0.3</v>
      </c>
      <c r="L298" s="15">
        <v>0.3</v>
      </c>
      <c r="M298" t="s">
        <v>189</v>
      </c>
      <c r="N298" t="s">
        <v>613</v>
      </c>
      <c r="O298" s="2" t="s">
        <v>1031</v>
      </c>
    </row>
    <row r="299" spans="1:15" x14ac:dyDescent="0.25">
      <c r="A299" t="s">
        <v>162</v>
      </c>
      <c r="B299" t="s">
        <v>187</v>
      </c>
      <c r="C299" s="16" t="s">
        <v>193</v>
      </c>
      <c r="F299" s="14">
        <v>0.1</v>
      </c>
      <c r="G299" t="s">
        <v>18</v>
      </c>
      <c r="I299" t="s">
        <v>18</v>
      </c>
      <c r="K299" s="15">
        <v>0.1</v>
      </c>
      <c r="L299" s="15">
        <v>0.1</v>
      </c>
      <c r="M299" t="s">
        <v>189</v>
      </c>
      <c r="N299" t="s">
        <v>614</v>
      </c>
      <c r="O299" s="2" t="s">
        <v>1026</v>
      </c>
    </row>
    <row r="300" spans="1:15" x14ac:dyDescent="0.25">
      <c r="A300" t="s">
        <v>162</v>
      </c>
      <c r="B300" t="s">
        <v>187</v>
      </c>
      <c r="C300" s="16" t="s">
        <v>194</v>
      </c>
      <c r="F300" s="14">
        <f>0.25</f>
        <v>0.25</v>
      </c>
      <c r="K300" s="15">
        <f>0.25</f>
        <v>0.25</v>
      </c>
      <c r="L300" s="15">
        <f>0.25</f>
        <v>0.25</v>
      </c>
      <c r="M300" t="s">
        <v>189</v>
      </c>
      <c r="N300" t="s">
        <v>615</v>
      </c>
      <c r="O300" s="2" t="s">
        <v>1035</v>
      </c>
    </row>
    <row r="301" spans="1:15" x14ac:dyDescent="0.25">
      <c r="A301" t="s">
        <v>162</v>
      </c>
      <c r="B301" t="s">
        <v>187</v>
      </c>
      <c r="C301" s="16" t="s">
        <v>1033</v>
      </c>
      <c r="F301" s="14">
        <v>0.1</v>
      </c>
      <c r="G301" t="s">
        <v>18</v>
      </c>
      <c r="H301" t="s">
        <v>18</v>
      </c>
      <c r="I301" t="s">
        <v>18</v>
      </c>
      <c r="K301" s="15">
        <v>0.1</v>
      </c>
      <c r="L301" s="15">
        <v>0.1</v>
      </c>
      <c r="M301" t="s">
        <v>189</v>
      </c>
      <c r="N301" t="s">
        <v>616</v>
      </c>
      <c r="O301" s="2" t="s">
        <v>948</v>
      </c>
    </row>
    <row r="302" spans="1:15" x14ac:dyDescent="0.25">
      <c r="A302" t="s">
        <v>162</v>
      </c>
      <c r="B302" t="s">
        <v>187</v>
      </c>
      <c r="C302" s="16" t="s">
        <v>195</v>
      </c>
      <c r="F302" s="14">
        <f>0.05</f>
        <v>0.05</v>
      </c>
      <c r="K302" s="15">
        <f>0.05</f>
        <v>0.05</v>
      </c>
      <c r="L302" s="15">
        <f>0.05</f>
        <v>0.05</v>
      </c>
      <c r="M302" t="s">
        <v>189</v>
      </c>
      <c r="N302" t="s">
        <v>617</v>
      </c>
      <c r="O302" s="2" t="s">
        <v>842</v>
      </c>
    </row>
    <row r="303" spans="1:15" x14ac:dyDescent="0.25">
      <c r="A303" t="s">
        <v>162</v>
      </c>
      <c r="B303" t="s">
        <v>187</v>
      </c>
      <c r="C303" s="13" t="s">
        <v>196</v>
      </c>
      <c r="F303" s="14">
        <v>0.05</v>
      </c>
      <c r="K303" s="15"/>
      <c r="L303" s="15">
        <v>0.05</v>
      </c>
      <c r="M303" t="s">
        <v>153</v>
      </c>
      <c r="N303" t="s">
        <v>618</v>
      </c>
      <c r="O303" s="2" t="s">
        <v>1036</v>
      </c>
    </row>
    <row r="304" spans="1:15" x14ac:dyDescent="0.25">
      <c r="A304" t="s">
        <v>162</v>
      </c>
      <c r="B304" s="13" t="s">
        <v>197</v>
      </c>
      <c r="C304" s="13" t="s">
        <v>1034</v>
      </c>
      <c r="D304" s="42"/>
      <c r="E304" s="42"/>
      <c r="F304" s="14">
        <v>5.0000000000000001E-3</v>
      </c>
      <c r="G304" s="42"/>
      <c r="H304" s="42"/>
      <c r="I304" s="42"/>
      <c r="L304" s="15">
        <v>5.0000000000000001E-3</v>
      </c>
      <c r="M304" t="s">
        <v>198</v>
      </c>
      <c r="N304" t="s">
        <v>619</v>
      </c>
      <c r="O304" s="2" t="s">
        <v>842</v>
      </c>
    </row>
    <row r="305" spans="1:16" x14ac:dyDescent="0.25">
      <c r="A305" t="s">
        <v>162</v>
      </c>
      <c r="B305" s="13" t="s">
        <v>197</v>
      </c>
      <c r="C305" s="26" t="s">
        <v>1037</v>
      </c>
      <c r="D305" s="42"/>
      <c r="E305" s="42"/>
      <c r="F305" s="14">
        <f>L305</f>
        <v>0.13150000000000001</v>
      </c>
      <c r="G305" s="42"/>
      <c r="H305" s="42"/>
      <c r="I305" s="42"/>
      <c r="L305" s="15">
        <v>0.13150000000000001</v>
      </c>
      <c r="M305" t="s">
        <v>198</v>
      </c>
      <c r="N305" t="s">
        <v>620</v>
      </c>
      <c r="O305" s="2" t="s">
        <v>842</v>
      </c>
    </row>
    <row r="306" spans="1:16" x14ac:dyDescent="0.25">
      <c r="A306" t="s">
        <v>162</v>
      </c>
      <c r="B306" s="13" t="s">
        <v>197</v>
      </c>
      <c r="C306" s="26" t="s">
        <v>1038</v>
      </c>
      <c r="D306" s="42"/>
      <c r="E306" s="42"/>
      <c r="F306" s="14">
        <f>L306</f>
        <v>0.158</v>
      </c>
      <c r="G306" s="42"/>
      <c r="H306" s="42"/>
      <c r="I306" s="42"/>
      <c r="L306" s="15">
        <v>0.158</v>
      </c>
      <c r="M306" t="s">
        <v>198</v>
      </c>
      <c r="N306" t="s">
        <v>621</v>
      </c>
      <c r="O306" s="2" t="s">
        <v>842</v>
      </c>
    </row>
    <row r="307" spans="1:16" x14ac:dyDescent="0.25">
      <c r="A307" t="s">
        <v>162</v>
      </c>
      <c r="B307" s="13" t="s">
        <v>197</v>
      </c>
      <c r="C307" s="26" t="s">
        <v>1039</v>
      </c>
      <c r="D307" s="42"/>
      <c r="E307" s="42"/>
      <c r="F307" s="14">
        <f>L307</f>
        <v>1.95E-2</v>
      </c>
      <c r="G307" s="42"/>
      <c r="H307" s="42"/>
      <c r="I307" s="42"/>
      <c r="L307" s="15">
        <v>1.95E-2</v>
      </c>
      <c r="M307" t="s">
        <v>198</v>
      </c>
      <c r="N307" t="s">
        <v>622</v>
      </c>
      <c r="O307" s="2" t="s">
        <v>842</v>
      </c>
    </row>
    <row r="308" spans="1:16" x14ac:dyDescent="0.25">
      <c r="A308" t="s">
        <v>162</v>
      </c>
      <c r="B308" s="13" t="s">
        <v>197</v>
      </c>
      <c r="C308" s="26" t="s">
        <v>1040</v>
      </c>
      <c r="D308" s="42"/>
      <c r="E308" s="42"/>
      <c r="F308" s="14">
        <f>L308</f>
        <v>0.12</v>
      </c>
      <c r="G308" s="42"/>
      <c r="H308" s="42"/>
      <c r="I308" s="42"/>
      <c r="L308" s="15">
        <v>0.12</v>
      </c>
      <c r="M308" t="s">
        <v>198</v>
      </c>
      <c r="N308" t="s">
        <v>623</v>
      </c>
      <c r="O308" s="2" t="s">
        <v>842</v>
      </c>
    </row>
    <row r="309" spans="1:16" x14ac:dyDescent="0.25">
      <c r="A309" t="s">
        <v>162</v>
      </c>
      <c r="B309" s="16" t="s">
        <v>199</v>
      </c>
      <c r="C309" s="13" t="s">
        <v>200</v>
      </c>
      <c r="D309" s="13"/>
      <c r="E309" s="31"/>
      <c r="F309" s="17">
        <v>0.73299999999999998</v>
      </c>
      <c r="G309" s="42"/>
      <c r="H309" s="42"/>
      <c r="I309" s="42"/>
      <c r="L309">
        <v>0.73299999999999998</v>
      </c>
      <c r="M309" t="s">
        <v>174</v>
      </c>
      <c r="N309" t="s">
        <v>624</v>
      </c>
      <c r="O309" s="2" t="s">
        <v>1042</v>
      </c>
    </row>
    <row r="310" spans="1:16" x14ac:dyDescent="0.25">
      <c r="A310" t="s">
        <v>162</v>
      </c>
      <c r="B310" s="16" t="s">
        <v>199</v>
      </c>
      <c r="C310" s="13" t="s">
        <v>201</v>
      </c>
      <c r="D310" s="42"/>
      <c r="E310" s="42"/>
      <c r="F310" s="14">
        <v>6.7000000000000004E-2</v>
      </c>
      <c r="G310" s="42"/>
      <c r="H310" s="42"/>
      <c r="I310" s="42"/>
      <c r="L310" s="15">
        <v>6.7000000000000004E-2</v>
      </c>
      <c r="M310" t="s">
        <v>174</v>
      </c>
      <c r="N310" t="s">
        <v>625</v>
      </c>
      <c r="O310" s="2" t="s">
        <v>1042</v>
      </c>
    </row>
    <row r="311" spans="1:16" x14ac:dyDescent="0.25">
      <c r="A311" t="s">
        <v>202</v>
      </c>
      <c r="B311" s="13" t="s">
        <v>203</v>
      </c>
      <c r="C311" s="16" t="s">
        <v>1041</v>
      </c>
      <c r="F311" s="17">
        <f>MAX(K311,L311)</f>
        <v>0.25</v>
      </c>
      <c r="K311" s="15">
        <f>0.035*5+0.015*5</f>
        <v>0.25</v>
      </c>
      <c r="M311" t="s">
        <v>21</v>
      </c>
      <c r="N311" t="s">
        <v>626</v>
      </c>
      <c r="O311" s="2" t="s">
        <v>842</v>
      </c>
    </row>
    <row r="312" spans="1:16" x14ac:dyDescent="0.25">
      <c r="A312" t="s">
        <v>202</v>
      </c>
      <c r="B312" s="13" t="s">
        <v>203</v>
      </c>
      <c r="C312" s="56" t="s">
        <v>1043</v>
      </c>
      <c r="D312" s="56" t="s">
        <v>1044</v>
      </c>
      <c r="F312" s="17">
        <f>L312</f>
        <v>11.71</v>
      </c>
      <c r="K312" s="18">
        <f>2.4+2.75+3+3.25+3.25</f>
        <v>14.65</v>
      </c>
      <c r="L312">
        <v>11.71</v>
      </c>
      <c r="M312" t="s">
        <v>21</v>
      </c>
      <c r="N312" t="s">
        <v>627</v>
      </c>
      <c r="O312" s="2" t="s">
        <v>1049</v>
      </c>
      <c r="P312" s="2" t="s">
        <v>1050</v>
      </c>
    </row>
    <row r="313" spans="1:16" x14ac:dyDescent="0.25">
      <c r="A313" t="s">
        <v>202</v>
      </c>
      <c r="B313" s="13" t="s">
        <v>203</v>
      </c>
      <c r="C313" s="56" t="s">
        <v>1043</v>
      </c>
      <c r="D313" s="56" t="s">
        <v>1045</v>
      </c>
      <c r="F313" s="17">
        <v>15</v>
      </c>
      <c r="K313" s="18"/>
      <c r="L313">
        <v>15</v>
      </c>
      <c r="M313" t="s">
        <v>21</v>
      </c>
      <c r="N313" t="s">
        <v>628</v>
      </c>
      <c r="O313" s="2" t="s">
        <v>842</v>
      </c>
    </row>
    <row r="314" spans="1:16" x14ac:dyDescent="0.25">
      <c r="A314" t="s">
        <v>202</v>
      </c>
      <c r="B314" s="13" t="s">
        <v>203</v>
      </c>
      <c r="C314" s="56" t="s">
        <v>1043</v>
      </c>
      <c r="D314" s="56" t="s">
        <v>1046</v>
      </c>
      <c r="F314" s="17">
        <v>4</v>
      </c>
      <c r="K314" s="18"/>
      <c r="L314">
        <v>4</v>
      </c>
      <c r="M314" t="s">
        <v>21</v>
      </c>
      <c r="N314" t="s">
        <v>629</v>
      </c>
      <c r="O314" s="2" t="s">
        <v>842</v>
      </c>
    </row>
    <row r="315" spans="1:16" s="3" customFormat="1" x14ac:dyDescent="0.25">
      <c r="A315" s="23" t="s">
        <v>202</v>
      </c>
      <c r="B315" s="16" t="s">
        <v>203</v>
      </c>
      <c r="C315" s="56" t="s">
        <v>1043</v>
      </c>
      <c r="D315" s="56" t="s">
        <v>1047</v>
      </c>
      <c r="E315" s="23"/>
      <c r="F315" s="44"/>
      <c r="G315" s="23"/>
      <c r="H315" s="23"/>
      <c r="I315" s="23"/>
      <c r="J315" s="23"/>
      <c r="K315" s="44">
        <f>1.126*5</f>
        <v>5.629999999999999</v>
      </c>
      <c r="L315" s="44"/>
      <c r="M315" s="23" t="s">
        <v>21</v>
      </c>
      <c r="N315" t="s">
        <v>630</v>
      </c>
      <c r="O315" s="3" t="s">
        <v>1049</v>
      </c>
    </row>
    <row r="316" spans="1:16" x14ac:dyDescent="0.25">
      <c r="A316" t="s">
        <v>202</v>
      </c>
      <c r="B316" s="13" t="s">
        <v>203</v>
      </c>
      <c r="C316" s="13" t="s">
        <v>1048</v>
      </c>
      <c r="F316" s="17">
        <f>K316</f>
        <v>2.5000000000000001E-2</v>
      </c>
      <c r="K316" s="18">
        <f>0.005*5</f>
        <v>2.5000000000000001E-2</v>
      </c>
      <c r="L316" s="45"/>
      <c r="M316" t="s">
        <v>21</v>
      </c>
      <c r="N316" t="s">
        <v>631</v>
      </c>
      <c r="O316" s="2" t="s">
        <v>1051</v>
      </c>
    </row>
    <row r="317" spans="1:16" x14ac:dyDescent="0.25">
      <c r="A317" t="s">
        <v>202</v>
      </c>
      <c r="B317" s="13" t="s">
        <v>203</v>
      </c>
      <c r="C317" s="16" t="s">
        <v>204</v>
      </c>
      <c r="D317" s="56" t="s">
        <v>205</v>
      </c>
      <c r="E317" s="16"/>
      <c r="F317" s="17">
        <f>MAX(K317,L317)</f>
        <v>5</v>
      </c>
      <c r="K317" s="15"/>
      <c r="L317">
        <v>5</v>
      </c>
      <c r="M317" t="s">
        <v>21</v>
      </c>
      <c r="N317" t="s">
        <v>632</v>
      </c>
      <c r="O317" s="2" t="s">
        <v>1054</v>
      </c>
    </row>
    <row r="318" spans="1:16" x14ac:dyDescent="0.25">
      <c r="A318" t="s">
        <v>202</v>
      </c>
      <c r="B318" s="13" t="s">
        <v>203</v>
      </c>
      <c r="C318" s="56" t="s">
        <v>1052</v>
      </c>
      <c r="D318" s="56" t="s">
        <v>206</v>
      </c>
      <c r="E318" s="16"/>
      <c r="F318" s="17">
        <f>K318</f>
        <v>0.51</v>
      </c>
      <c r="K318" s="15">
        <f>0.07+0.08+0.1+0.12+0.14</f>
        <v>0.51</v>
      </c>
      <c r="M318" t="s">
        <v>21</v>
      </c>
      <c r="N318" t="s">
        <v>633</v>
      </c>
      <c r="O318" s="2" t="s">
        <v>1054</v>
      </c>
    </row>
    <row r="319" spans="1:16" x14ac:dyDescent="0.25">
      <c r="A319" t="s">
        <v>202</v>
      </c>
      <c r="B319" s="13" t="s">
        <v>203</v>
      </c>
      <c r="C319" s="56" t="s">
        <v>1052</v>
      </c>
      <c r="D319" s="23" t="s">
        <v>207</v>
      </c>
      <c r="E319" s="23"/>
      <c r="F319" s="17">
        <f>MAX(K319,L319)</f>
        <v>0.125</v>
      </c>
      <c r="G319" t="s">
        <v>18</v>
      </c>
      <c r="K319" s="15">
        <f>0.025*5</f>
        <v>0.125</v>
      </c>
      <c r="M319" t="s">
        <v>21</v>
      </c>
      <c r="N319" t="s">
        <v>634</v>
      </c>
      <c r="O319" s="2" t="s">
        <v>1055</v>
      </c>
    </row>
    <row r="320" spans="1:16" x14ac:dyDescent="0.25">
      <c r="A320" t="s">
        <v>202</v>
      </c>
      <c r="B320" s="13" t="s">
        <v>203</v>
      </c>
      <c r="C320" s="56" t="s">
        <v>1052</v>
      </c>
      <c r="D320" s="16" t="s">
        <v>1053</v>
      </c>
      <c r="E320" s="16"/>
      <c r="F320" s="17">
        <f>MAX(K320,L320)</f>
        <v>0.1</v>
      </c>
      <c r="H320" t="s">
        <v>18</v>
      </c>
      <c r="I320" t="s">
        <v>18</v>
      </c>
      <c r="K320" s="15">
        <f>0.02*5</f>
        <v>0.1</v>
      </c>
      <c r="M320" t="s">
        <v>21</v>
      </c>
      <c r="N320" t="s">
        <v>635</v>
      </c>
      <c r="O320" s="2" t="s">
        <v>1056</v>
      </c>
    </row>
    <row r="321" spans="1:16" x14ac:dyDescent="0.25">
      <c r="A321" t="s">
        <v>202</v>
      </c>
      <c r="B321" s="13" t="s">
        <v>203</v>
      </c>
      <c r="C321" s="56" t="s">
        <v>1052</v>
      </c>
      <c r="D321" s="16" t="s">
        <v>208</v>
      </c>
      <c r="E321" s="16"/>
      <c r="F321" s="17">
        <f>MAX(K321,L321)</f>
        <v>0.25</v>
      </c>
      <c r="H321" t="s">
        <v>18</v>
      </c>
      <c r="I321" t="s">
        <v>18</v>
      </c>
      <c r="K321" s="15">
        <f>0.05*5</f>
        <v>0.25</v>
      </c>
      <c r="M321" t="s">
        <v>21</v>
      </c>
      <c r="N321" t="s">
        <v>636</v>
      </c>
      <c r="O321" s="2" t="s">
        <v>1057</v>
      </c>
    </row>
    <row r="322" spans="1:16" x14ac:dyDescent="0.25">
      <c r="A322" t="s">
        <v>202</v>
      </c>
      <c r="B322" s="13" t="s">
        <v>203</v>
      </c>
      <c r="C322" s="13" t="s">
        <v>209</v>
      </c>
      <c r="F322" s="17">
        <v>0.5</v>
      </c>
      <c r="I322" t="s">
        <v>18</v>
      </c>
      <c r="K322">
        <v>0.5</v>
      </c>
      <c r="M322" t="s">
        <v>21</v>
      </c>
      <c r="N322" t="s">
        <v>637</v>
      </c>
      <c r="O322" s="2" t="s">
        <v>1058</v>
      </c>
    </row>
    <row r="323" spans="1:16" x14ac:dyDescent="0.25">
      <c r="A323" t="s">
        <v>202</v>
      </c>
      <c r="B323" s="13" t="s">
        <v>203</v>
      </c>
      <c r="C323" s="13" t="s">
        <v>1059</v>
      </c>
      <c r="F323" s="17">
        <v>0.01</v>
      </c>
      <c r="H323" t="s">
        <v>18</v>
      </c>
      <c r="I323" t="s">
        <v>18</v>
      </c>
      <c r="K323">
        <v>0.01</v>
      </c>
      <c r="M323" t="s">
        <v>21</v>
      </c>
      <c r="N323" t="s">
        <v>638</v>
      </c>
      <c r="O323" s="2" t="s">
        <v>842</v>
      </c>
    </row>
    <row r="324" spans="1:16" x14ac:dyDescent="0.25">
      <c r="A324" t="s">
        <v>202</v>
      </c>
      <c r="B324" s="13" t="s">
        <v>203</v>
      </c>
      <c r="C324" s="13" t="s">
        <v>1060</v>
      </c>
      <c r="F324" s="14">
        <f>0.05*5</f>
        <v>0.25</v>
      </c>
      <c r="H324" t="s">
        <v>18</v>
      </c>
      <c r="I324" t="s">
        <v>18</v>
      </c>
      <c r="K324" s="15">
        <f>0.05*5</f>
        <v>0.25</v>
      </c>
      <c r="M324" t="s">
        <v>21</v>
      </c>
      <c r="N324" t="s">
        <v>639</v>
      </c>
      <c r="O324" s="2" t="s">
        <v>842</v>
      </c>
    </row>
    <row r="325" spans="1:16" x14ac:dyDescent="0.25">
      <c r="A325" t="s">
        <v>202</v>
      </c>
      <c r="B325" s="13" t="s">
        <v>203</v>
      </c>
      <c r="C325" s="13" t="s">
        <v>1061</v>
      </c>
      <c r="F325" s="14">
        <f>0.05*5</f>
        <v>0.25</v>
      </c>
      <c r="G325" t="s">
        <v>18</v>
      </c>
      <c r="H325" t="s">
        <v>18</v>
      </c>
      <c r="I325" t="s">
        <v>18</v>
      </c>
      <c r="K325" s="15">
        <f>0.05*5</f>
        <v>0.25</v>
      </c>
      <c r="M325" t="s">
        <v>21</v>
      </c>
      <c r="N325" t="s">
        <v>640</v>
      </c>
      <c r="O325" s="2" t="s">
        <v>842</v>
      </c>
    </row>
    <row r="326" spans="1:16" x14ac:dyDescent="0.25">
      <c r="A326" t="s">
        <v>202</v>
      </c>
      <c r="B326" s="13" t="s">
        <v>203</v>
      </c>
      <c r="C326" s="13" t="s">
        <v>1062</v>
      </c>
      <c r="F326" s="14">
        <f>0.03+0.035+0.04+0.045+0.05</f>
        <v>0.2</v>
      </c>
      <c r="I326" t="s">
        <v>18</v>
      </c>
      <c r="K326" s="15">
        <f>0.03+0.035+0.04+0.045+0.05</f>
        <v>0.2</v>
      </c>
      <c r="M326" t="s">
        <v>21</v>
      </c>
      <c r="N326" t="s">
        <v>641</v>
      </c>
      <c r="O326" s="2" t="s">
        <v>1054</v>
      </c>
    </row>
    <row r="327" spans="1:16" x14ac:dyDescent="0.25">
      <c r="A327" t="s">
        <v>202</v>
      </c>
      <c r="B327" s="13" t="s">
        <v>203</v>
      </c>
      <c r="C327" s="13" t="s">
        <v>1063</v>
      </c>
      <c r="F327" s="14">
        <f>0.05*5</f>
        <v>0.25</v>
      </c>
      <c r="K327" s="15">
        <f>0.05*5</f>
        <v>0.25</v>
      </c>
      <c r="M327" t="s">
        <v>21</v>
      </c>
      <c r="N327" t="s">
        <v>642</v>
      </c>
      <c r="O327" s="2" t="s">
        <v>1054</v>
      </c>
    </row>
    <row r="328" spans="1:16" x14ac:dyDescent="0.25">
      <c r="A328" t="s">
        <v>202</v>
      </c>
      <c r="B328" s="13" t="s">
        <v>203</v>
      </c>
      <c r="C328" s="13" t="s">
        <v>1064</v>
      </c>
      <c r="F328" s="14">
        <f>0.01*5</f>
        <v>0.05</v>
      </c>
      <c r="G328" t="s">
        <v>18</v>
      </c>
      <c r="H328" t="s">
        <v>18</v>
      </c>
      <c r="I328" t="s">
        <v>18</v>
      </c>
      <c r="K328" s="15">
        <f>0.01*5</f>
        <v>0.05</v>
      </c>
      <c r="M328" t="s">
        <v>21</v>
      </c>
      <c r="N328" t="s">
        <v>643</v>
      </c>
      <c r="O328" s="2" t="s">
        <v>1054</v>
      </c>
    </row>
    <row r="329" spans="1:16" x14ac:dyDescent="0.25">
      <c r="A329" t="s">
        <v>202</v>
      </c>
      <c r="B329" t="s">
        <v>210</v>
      </c>
      <c r="C329" s="13" t="s">
        <v>1065</v>
      </c>
      <c r="F329" s="14">
        <f>0.075*5</f>
        <v>0.375</v>
      </c>
      <c r="K329" s="15">
        <f>0.075*5</f>
        <v>0.375</v>
      </c>
      <c r="M329" t="s">
        <v>21</v>
      </c>
      <c r="N329" t="s">
        <v>644</v>
      </c>
      <c r="O329" s="2" t="s">
        <v>1055</v>
      </c>
    </row>
    <row r="330" spans="1:16" x14ac:dyDescent="0.25">
      <c r="A330" t="s">
        <v>202</v>
      </c>
      <c r="B330" t="s">
        <v>210</v>
      </c>
      <c r="C330" s="13" t="s">
        <v>1066</v>
      </c>
      <c r="F330" s="14">
        <f>0.02*5</f>
        <v>0.1</v>
      </c>
      <c r="G330" t="s">
        <v>18</v>
      </c>
      <c r="H330" t="s">
        <v>18</v>
      </c>
      <c r="I330" t="s">
        <v>18</v>
      </c>
      <c r="K330" s="15">
        <f>0.02*5</f>
        <v>0.1</v>
      </c>
      <c r="M330" t="s">
        <v>21</v>
      </c>
      <c r="N330" t="s">
        <v>645</v>
      </c>
      <c r="O330" s="2" t="s">
        <v>842</v>
      </c>
    </row>
    <row r="331" spans="1:16" x14ac:dyDescent="0.25">
      <c r="A331" t="s">
        <v>202</v>
      </c>
      <c r="B331" t="s">
        <v>210</v>
      </c>
      <c r="C331" s="13" t="s">
        <v>1067</v>
      </c>
      <c r="F331" s="14">
        <f>0.025*5</f>
        <v>0.125</v>
      </c>
      <c r="G331" t="s">
        <v>18</v>
      </c>
      <c r="I331" t="s">
        <v>18</v>
      </c>
      <c r="K331" s="15">
        <f>0.025*5</f>
        <v>0.125</v>
      </c>
      <c r="M331" t="s">
        <v>21</v>
      </c>
      <c r="N331" t="s">
        <v>646</v>
      </c>
      <c r="O331" s="2" t="s">
        <v>1070</v>
      </c>
      <c r="P331" s="2" t="s">
        <v>842</v>
      </c>
    </row>
    <row r="332" spans="1:16" x14ac:dyDescent="0.25">
      <c r="A332" t="s">
        <v>202</v>
      </c>
      <c r="B332" t="s">
        <v>210</v>
      </c>
      <c r="C332" s="13" t="s">
        <v>1068</v>
      </c>
      <c r="F332" s="14">
        <f>0.28*5</f>
        <v>1.4000000000000001</v>
      </c>
      <c r="G332" t="s">
        <v>18</v>
      </c>
      <c r="K332" s="15">
        <f>0.28*5</f>
        <v>1.4000000000000001</v>
      </c>
      <c r="M332" t="s">
        <v>21</v>
      </c>
      <c r="N332" t="s">
        <v>647</v>
      </c>
      <c r="O332" s="2" t="s">
        <v>1071</v>
      </c>
      <c r="P332" s="2" t="s">
        <v>842</v>
      </c>
    </row>
    <row r="333" spans="1:16" x14ac:dyDescent="0.25">
      <c r="A333" t="s">
        <v>202</v>
      </c>
      <c r="B333" t="s">
        <v>210</v>
      </c>
      <c r="C333" s="13" t="s">
        <v>1069</v>
      </c>
      <c r="F333" s="14">
        <f>0.025*5</f>
        <v>0.125</v>
      </c>
      <c r="G333" t="s">
        <v>18</v>
      </c>
      <c r="H333" t="s">
        <v>18</v>
      </c>
      <c r="I333" t="s">
        <v>18</v>
      </c>
      <c r="K333" s="15">
        <f>0.025*5</f>
        <v>0.125</v>
      </c>
      <c r="M333" t="s">
        <v>21</v>
      </c>
      <c r="N333" t="s">
        <v>648</v>
      </c>
      <c r="O333" s="2" t="s">
        <v>842</v>
      </c>
    </row>
    <row r="334" spans="1:16" x14ac:dyDescent="0.25">
      <c r="A334" t="s">
        <v>202</v>
      </c>
      <c r="B334" t="s">
        <v>210</v>
      </c>
      <c r="C334" s="13" t="s">
        <v>1072</v>
      </c>
      <c r="F334" s="14">
        <f>0.01*5</f>
        <v>0.05</v>
      </c>
      <c r="K334" s="15">
        <f>0.01*5</f>
        <v>0.05</v>
      </c>
      <c r="M334" t="s">
        <v>21</v>
      </c>
      <c r="N334" t="s">
        <v>649</v>
      </c>
      <c r="O334" s="2" t="s">
        <v>842</v>
      </c>
    </row>
    <row r="335" spans="1:16" x14ac:dyDescent="0.25">
      <c r="A335" t="s">
        <v>202</v>
      </c>
      <c r="B335" t="s">
        <v>210</v>
      </c>
      <c r="C335" s="13" t="s">
        <v>1073</v>
      </c>
      <c r="F335" s="14">
        <f>0.01*5</f>
        <v>0.05</v>
      </c>
      <c r="H335" t="s">
        <v>18</v>
      </c>
      <c r="I335" t="s">
        <v>18</v>
      </c>
      <c r="K335" s="15">
        <f>0.01*5</f>
        <v>0.05</v>
      </c>
      <c r="M335" t="s">
        <v>21</v>
      </c>
      <c r="N335" t="s">
        <v>650</v>
      </c>
      <c r="O335" s="2" t="s">
        <v>842</v>
      </c>
    </row>
    <row r="336" spans="1:16" x14ac:dyDescent="0.25">
      <c r="A336" t="s">
        <v>202</v>
      </c>
      <c r="B336" t="s">
        <v>210</v>
      </c>
      <c r="C336" s="13" t="s">
        <v>211</v>
      </c>
      <c r="F336" s="14">
        <f>0.05*5</f>
        <v>0.25</v>
      </c>
      <c r="H336" t="s">
        <v>18</v>
      </c>
      <c r="I336" t="s">
        <v>18</v>
      </c>
      <c r="K336" s="15">
        <f>0.05*5</f>
        <v>0.25</v>
      </c>
      <c r="M336" t="s">
        <v>21</v>
      </c>
      <c r="N336" t="s">
        <v>651</v>
      </c>
      <c r="O336" s="2" t="s">
        <v>842</v>
      </c>
    </row>
    <row r="337" spans="1:16" x14ac:dyDescent="0.25">
      <c r="A337" t="s">
        <v>202</v>
      </c>
      <c r="B337" t="s">
        <v>210</v>
      </c>
      <c r="C337" s="26" t="s">
        <v>1074</v>
      </c>
      <c r="F337" s="14">
        <f>0.04*5</f>
        <v>0.2</v>
      </c>
      <c r="H337" t="s">
        <v>18</v>
      </c>
      <c r="I337" t="s">
        <v>18</v>
      </c>
      <c r="K337" s="15">
        <f>0.04*5</f>
        <v>0.2</v>
      </c>
      <c r="M337" t="s">
        <v>21</v>
      </c>
      <c r="N337" t="s">
        <v>652</v>
      </c>
      <c r="O337" s="2" t="s">
        <v>1054</v>
      </c>
    </row>
    <row r="338" spans="1:16" x14ac:dyDescent="0.25">
      <c r="A338" t="s">
        <v>202</v>
      </c>
      <c r="B338" t="s">
        <v>210</v>
      </c>
      <c r="C338" s="13" t="s">
        <v>1075</v>
      </c>
      <c r="D338" t="s">
        <v>1076</v>
      </c>
      <c r="F338" s="17">
        <f>L338</f>
        <v>11.71</v>
      </c>
      <c r="K338" s="15">
        <f>2.4+2.75+3+3.25+3.25</f>
        <v>14.65</v>
      </c>
      <c r="L338">
        <v>11.71</v>
      </c>
      <c r="M338" t="s">
        <v>21</v>
      </c>
      <c r="N338" t="s">
        <v>653</v>
      </c>
      <c r="O338" s="2" t="s">
        <v>1079</v>
      </c>
      <c r="P338" s="2" t="s">
        <v>1054</v>
      </c>
    </row>
    <row r="339" spans="1:16" x14ac:dyDescent="0.25">
      <c r="A339" t="s">
        <v>202</v>
      </c>
      <c r="B339" t="s">
        <v>210</v>
      </c>
      <c r="C339" s="13" t="s">
        <v>1075</v>
      </c>
      <c r="D339" t="s">
        <v>1077</v>
      </c>
      <c r="F339" s="17">
        <f>L339</f>
        <v>1</v>
      </c>
      <c r="K339" s="15"/>
      <c r="L339">
        <v>1</v>
      </c>
      <c r="M339" t="s">
        <v>21</v>
      </c>
      <c r="N339" t="s">
        <v>654</v>
      </c>
      <c r="O339" s="2" t="s">
        <v>1054</v>
      </c>
    </row>
    <row r="340" spans="1:16" s="3" customFormat="1" x14ac:dyDescent="0.25">
      <c r="A340" s="23" t="s">
        <v>202</v>
      </c>
      <c r="B340" s="23" t="s">
        <v>210</v>
      </c>
      <c r="C340" s="13" t="s">
        <v>1075</v>
      </c>
      <c r="D340" s="23" t="s">
        <v>1078</v>
      </c>
      <c r="E340" s="23"/>
      <c r="F340" s="44"/>
      <c r="G340" s="23"/>
      <c r="H340" s="23"/>
      <c r="I340" s="23"/>
      <c r="J340" s="23"/>
      <c r="K340" s="46">
        <f>1.639*5</f>
        <v>8.1950000000000003</v>
      </c>
      <c r="L340" s="46"/>
      <c r="M340" s="23" t="s">
        <v>21</v>
      </c>
      <c r="N340" t="s">
        <v>655</v>
      </c>
      <c r="O340" s="3" t="s">
        <v>1088</v>
      </c>
    </row>
    <row r="341" spans="1:16" x14ac:dyDescent="0.25">
      <c r="A341" t="s">
        <v>202</v>
      </c>
      <c r="B341" t="s">
        <v>210</v>
      </c>
      <c r="C341" s="13" t="s">
        <v>1080</v>
      </c>
      <c r="F341" s="14">
        <f>0.005*5</f>
        <v>2.5000000000000001E-2</v>
      </c>
      <c r="K341" s="15">
        <f>0.005*5</f>
        <v>2.5000000000000001E-2</v>
      </c>
      <c r="M341" t="s">
        <v>21</v>
      </c>
      <c r="N341" t="s">
        <v>656</v>
      </c>
      <c r="O341" s="2" t="s">
        <v>1089</v>
      </c>
      <c r="P341" s="2" t="s">
        <v>1054</v>
      </c>
    </row>
    <row r="342" spans="1:16" x14ac:dyDescent="0.25">
      <c r="A342" t="s">
        <v>202</v>
      </c>
      <c r="B342" t="s">
        <v>210</v>
      </c>
      <c r="C342" s="13" t="s">
        <v>212</v>
      </c>
      <c r="F342" s="14">
        <f>0.04+0.04+0.04+0.05+0.06</f>
        <v>0.22999999999999998</v>
      </c>
      <c r="K342" s="15">
        <f>0.04+0.04+0.04+0.05+0.06</f>
        <v>0.22999999999999998</v>
      </c>
      <c r="M342" t="s">
        <v>21</v>
      </c>
      <c r="N342" t="s">
        <v>657</v>
      </c>
      <c r="O342" s="2" t="s">
        <v>948</v>
      </c>
    </row>
    <row r="343" spans="1:16" x14ac:dyDescent="0.25">
      <c r="A343" t="s">
        <v>202</v>
      </c>
      <c r="B343" t="s">
        <v>210</v>
      </c>
      <c r="C343" s="13" t="s">
        <v>1081</v>
      </c>
      <c r="F343" s="14">
        <f>0.015*5</f>
        <v>7.4999999999999997E-2</v>
      </c>
      <c r="H343" t="s">
        <v>18</v>
      </c>
      <c r="I343" t="s">
        <v>18</v>
      </c>
      <c r="K343" s="15">
        <f>0.015*5</f>
        <v>7.4999999999999997E-2</v>
      </c>
      <c r="M343" t="s">
        <v>21</v>
      </c>
      <c r="N343" t="s">
        <v>658</v>
      </c>
      <c r="O343" s="2" t="s">
        <v>842</v>
      </c>
    </row>
    <row r="344" spans="1:16" x14ac:dyDescent="0.25">
      <c r="A344" t="s">
        <v>202</v>
      </c>
      <c r="B344" t="s">
        <v>210</v>
      </c>
      <c r="C344" s="13" t="s">
        <v>1082</v>
      </c>
      <c r="F344" s="14">
        <f>0.05*5</f>
        <v>0.25</v>
      </c>
      <c r="K344" s="15">
        <f>0.05*5</f>
        <v>0.25</v>
      </c>
      <c r="M344" t="s">
        <v>21</v>
      </c>
      <c r="N344" t="s">
        <v>659</v>
      </c>
      <c r="O344" s="2" t="s">
        <v>1090</v>
      </c>
      <c r="P344" s="2" t="s">
        <v>1054</v>
      </c>
    </row>
    <row r="345" spans="1:16" x14ac:dyDescent="0.25">
      <c r="A345" t="s">
        <v>202</v>
      </c>
      <c r="B345" t="s">
        <v>210</v>
      </c>
      <c r="C345" s="13" t="s">
        <v>1083</v>
      </c>
      <c r="F345" s="14">
        <v>7.4999999999999997E-2</v>
      </c>
      <c r="K345" s="15"/>
      <c r="L345" s="15">
        <v>7.4999999999999997E-2</v>
      </c>
      <c r="M345" t="s">
        <v>114</v>
      </c>
      <c r="N345" t="s">
        <v>660</v>
      </c>
      <c r="O345" s="2" t="s">
        <v>842</v>
      </c>
    </row>
    <row r="346" spans="1:16" x14ac:dyDescent="0.25">
      <c r="A346" t="s">
        <v>202</v>
      </c>
      <c r="B346" t="s">
        <v>210</v>
      </c>
      <c r="C346" s="13" t="s">
        <v>213</v>
      </c>
      <c r="D346" s="13" t="s">
        <v>1084</v>
      </c>
      <c r="E346" s="13"/>
      <c r="F346" s="14">
        <f>0.005*5</f>
        <v>2.5000000000000001E-2</v>
      </c>
      <c r="G346" t="s">
        <v>18</v>
      </c>
      <c r="H346" t="s">
        <v>18</v>
      </c>
      <c r="I346" t="s">
        <v>18</v>
      </c>
      <c r="K346" s="15">
        <f>0.005*5</f>
        <v>2.5000000000000001E-2</v>
      </c>
      <c r="M346" t="s">
        <v>21</v>
      </c>
      <c r="N346" t="s">
        <v>661</v>
      </c>
      <c r="O346" s="2" t="s">
        <v>1054</v>
      </c>
    </row>
    <row r="347" spans="1:16" x14ac:dyDescent="0.25">
      <c r="A347" t="s">
        <v>202</v>
      </c>
      <c r="B347" t="s">
        <v>210</v>
      </c>
      <c r="C347" s="13" t="s">
        <v>213</v>
      </c>
      <c r="D347" s="13" t="s">
        <v>1085</v>
      </c>
      <c r="E347" s="13"/>
      <c r="F347" s="14">
        <f>0.01*5</f>
        <v>0.05</v>
      </c>
      <c r="G347" t="s">
        <v>18</v>
      </c>
      <c r="H347" t="s">
        <v>18</v>
      </c>
      <c r="I347" t="s">
        <v>18</v>
      </c>
      <c r="K347" s="15">
        <f>0.01*5</f>
        <v>0.05</v>
      </c>
      <c r="M347" t="s">
        <v>21</v>
      </c>
      <c r="N347" t="s">
        <v>662</v>
      </c>
      <c r="O347" s="2" t="s">
        <v>1054</v>
      </c>
    </row>
    <row r="348" spans="1:16" x14ac:dyDescent="0.25">
      <c r="A348" t="s">
        <v>202</v>
      </c>
      <c r="B348" t="s">
        <v>210</v>
      </c>
      <c r="C348" s="13" t="s">
        <v>1086</v>
      </c>
      <c r="F348" s="14">
        <f>0.005</f>
        <v>5.0000000000000001E-3</v>
      </c>
      <c r="K348" s="15">
        <f>0.005</f>
        <v>5.0000000000000001E-3</v>
      </c>
      <c r="M348" t="s">
        <v>21</v>
      </c>
      <c r="N348" t="s">
        <v>663</v>
      </c>
      <c r="O348" s="2" t="s">
        <v>1054</v>
      </c>
    </row>
    <row r="349" spans="1:16" x14ac:dyDescent="0.25">
      <c r="A349" t="s">
        <v>202</v>
      </c>
      <c r="B349" t="s">
        <v>210</v>
      </c>
      <c r="C349" s="13" t="s">
        <v>214</v>
      </c>
      <c r="F349" s="14">
        <f>0.012*4+0.003*4</f>
        <v>0.06</v>
      </c>
      <c r="K349" s="15">
        <f>0.012*4+0.003*4</f>
        <v>0.06</v>
      </c>
      <c r="M349" t="s">
        <v>153</v>
      </c>
      <c r="N349" t="s">
        <v>664</v>
      </c>
      <c r="O349" s="2" t="s">
        <v>1091</v>
      </c>
      <c r="P349" s="2" t="s">
        <v>1054</v>
      </c>
    </row>
    <row r="350" spans="1:16" x14ac:dyDescent="0.25">
      <c r="A350" t="s">
        <v>202</v>
      </c>
      <c r="B350" t="s">
        <v>210</v>
      </c>
      <c r="C350" s="13" t="s">
        <v>1087</v>
      </c>
      <c r="F350" s="14">
        <f>0.005*5</f>
        <v>2.5000000000000001E-2</v>
      </c>
      <c r="G350" t="s">
        <v>18</v>
      </c>
      <c r="K350" s="15">
        <f>0.005*5</f>
        <v>2.5000000000000001E-2</v>
      </c>
      <c r="M350" t="s">
        <v>21</v>
      </c>
      <c r="N350" t="s">
        <v>665</v>
      </c>
      <c r="O350" s="2" t="s">
        <v>842</v>
      </c>
    </row>
    <row r="351" spans="1:16" x14ac:dyDescent="0.25">
      <c r="A351" t="s">
        <v>202</v>
      </c>
      <c r="B351" t="s">
        <v>215</v>
      </c>
      <c r="C351" s="23" t="s">
        <v>216</v>
      </c>
      <c r="D351" s="16"/>
      <c r="E351" s="16"/>
      <c r="F351" s="17">
        <f>K351</f>
        <v>2.5</v>
      </c>
      <c r="K351" s="18">
        <v>2.5</v>
      </c>
      <c r="M351" t="s">
        <v>153</v>
      </c>
      <c r="N351" t="s">
        <v>666</v>
      </c>
      <c r="O351" s="2" t="s">
        <v>842</v>
      </c>
    </row>
    <row r="352" spans="1:16" s="5" customFormat="1" x14ac:dyDescent="0.25">
      <c r="A352" t="s">
        <v>202</v>
      </c>
      <c r="B352" t="s">
        <v>215</v>
      </c>
      <c r="C352" s="13" t="s">
        <v>217</v>
      </c>
      <c r="D352" s="33"/>
      <c r="E352" s="33"/>
      <c r="F352" s="17">
        <v>0.03</v>
      </c>
      <c r="G352" s="33"/>
      <c r="H352" s="33"/>
      <c r="I352" s="33"/>
      <c r="J352" s="33"/>
      <c r="K352" s="47"/>
      <c r="L352">
        <v>0.03</v>
      </c>
      <c r="M352" t="s">
        <v>114</v>
      </c>
      <c r="N352" t="s">
        <v>667</v>
      </c>
      <c r="O352" s="3" t="s">
        <v>1097</v>
      </c>
    </row>
    <row r="353" spans="1:15" x14ac:dyDescent="0.25">
      <c r="A353" t="s">
        <v>202</v>
      </c>
      <c r="B353" t="s">
        <v>215</v>
      </c>
      <c r="C353" s="13" t="s">
        <v>218</v>
      </c>
      <c r="F353" s="17">
        <v>0.2</v>
      </c>
      <c r="G353" t="s">
        <v>18</v>
      </c>
      <c r="K353" s="15"/>
      <c r="L353">
        <v>0.2</v>
      </c>
      <c r="M353" t="s">
        <v>114</v>
      </c>
      <c r="N353" t="s">
        <v>668</v>
      </c>
      <c r="O353" s="2" t="s">
        <v>1098</v>
      </c>
    </row>
    <row r="354" spans="1:15" x14ac:dyDescent="0.25">
      <c r="A354" t="s">
        <v>219</v>
      </c>
      <c r="B354" s="13" t="s">
        <v>220</v>
      </c>
      <c r="C354" s="13" t="s">
        <v>221</v>
      </c>
      <c r="D354" s="13"/>
      <c r="E354" s="13"/>
      <c r="F354" s="17">
        <f>L354</f>
        <v>42.45</v>
      </c>
      <c r="H354" t="s">
        <v>18</v>
      </c>
      <c r="K354" s="18">
        <v>42.45</v>
      </c>
      <c r="L354" s="18">
        <v>42.45</v>
      </c>
      <c r="M354" t="s">
        <v>222</v>
      </c>
      <c r="N354" t="s">
        <v>669</v>
      </c>
      <c r="O354" s="2" t="s">
        <v>1099</v>
      </c>
    </row>
    <row r="355" spans="1:15" x14ac:dyDescent="0.25">
      <c r="A355" t="s">
        <v>219</v>
      </c>
      <c r="B355" s="13" t="s">
        <v>220</v>
      </c>
      <c r="C355" s="13" t="s">
        <v>1092</v>
      </c>
      <c r="D355" s="13"/>
      <c r="E355" s="13"/>
      <c r="F355" s="17">
        <f>K355</f>
        <v>0.01</v>
      </c>
      <c r="K355" s="18">
        <v>0.01</v>
      </c>
      <c r="M355" t="s">
        <v>223</v>
      </c>
      <c r="N355" t="s">
        <v>670</v>
      </c>
      <c r="O355" s="2" t="s">
        <v>1099</v>
      </c>
    </row>
    <row r="356" spans="1:15" x14ac:dyDescent="0.25">
      <c r="A356" t="s">
        <v>219</v>
      </c>
      <c r="B356" s="13" t="s">
        <v>220</v>
      </c>
      <c r="C356" s="13" t="s">
        <v>224</v>
      </c>
      <c r="D356" s="13"/>
      <c r="E356" s="13"/>
      <c r="F356" s="17">
        <f>L356</f>
        <v>2</v>
      </c>
      <c r="I356" t="s">
        <v>18</v>
      </c>
      <c r="K356" s="18">
        <v>2</v>
      </c>
      <c r="L356">
        <v>2</v>
      </c>
      <c r="M356" t="s">
        <v>222</v>
      </c>
      <c r="N356" t="s">
        <v>671</v>
      </c>
      <c r="O356" s="2" t="s">
        <v>1099</v>
      </c>
    </row>
    <row r="357" spans="1:15" x14ac:dyDescent="0.25">
      <c r="A357" t="s">
        <v>219</v>
      </c>
      <c r="B357" s="13" t="s">
        <v>220</v>
      </c>
      <c r="C357" s="13" t="s">
        <v>1093</v>
      </c>
      <c r="D357" s="13"/>
      <c r="E357" s="13"/>
      <c r="F357" s="17">
        <f>L357</f>
        <v>1</v>
      </c>
      <c r="H357" t="s">
        <v>18</v>
      </c>
      <c r="I357" t="s">
        <v>18</v>
      </c>
      <c r="K357" s="18">
        <v>1</v>
      </c>
      <c r="L357">
        <v>1</v>
      </c>
      <c r="M357" t="s">
        <v>225</v>
      </c>
      <c r="N357" t="s">
        <v>672</v>
      </c>
      <c r="O357" s="2" t="s">
        <v>1099</v>
      </c>
    </row>
    <row r="358" spans="1:15" x14ac:dyDescent="0.25">
      <c r="A358" t="s">
        <v>219</v>
      </c>
      <c r="B358" t="s">
        <v>226</v>
      </c>
      <c r="C358" s="13" t="s">
        <v>227</v>
      </c>
      <c r="D358" s="13" t="s">
        <v>1094</v>
      </c>
      <c r="E358" s="13"/>
      <c r="F358" s="20">
        <v>0.06</v>
      </c>
      <c r="H358" t="s">
        <v>18</v>
      </c>
      <c r="K358" s="18">
        <v>0.06</v>
      </c>
      <c r="L358" s="18">
        <v>0.06</v>
      </c>
      <c r="M358" t="s">
        <v>225</v>
      </c>
      <c r="N358" t="s">
        <v>673</v>
      </c>
      <c r="O358" s="2" t="s">
        <v>1099</v>
      </c>
    </row>
    <row r="359" spans="1:15" x14ac:dyDescent="0.25">
      <c r="A359" t="s">
        <v>219</v>
      </c>
      <c r="B359" t="s">
        <v>226</v>
      </c>
      <c r="C359" s="13" t="s">
        <v>227</v>
      </c>
      <c r="D359" s="13" t="s">
        <v>1095</v>
      </c>
      <c r="E359" s="13"/>
      <c r="F359" s="20">
        <f>0.24+(0.3*4)</f>
        <v>1.44</v>
      </c>
      <c r="H359" t="s">
        <v>18</v>
      </c>
      <c r="K359" s="18">
        <f>0.24+(0.3*4)</f>
        <v>1.44</v>
      </c>
      <c r="L359" s="18">
        <f>0.24+(0.3*4)</f>
        <v>1.44</v>
      </c>
      <c r="M359" t="s">
        <v>225</v>
      </c>
      <c r="N359" t="s">
        <v>674</v>
      </c>
      <c r="O359" s="2" t="s">
        <v>1099</v>
      </c>
    </row>
    <row r="360" spans="1:15" x14ac:dyDescent="0.25">
      <c r="A360" t="s">
        <v>219</v>
      </c>
      <c r="B360" t="s">
        <v>226</v>
      </c>
      <c r="C360" s="13" t="s">
        <v>228</v>
      </c>
      <c r="D360" s="13"/>
      <c r="E360" s="13"/>
      <c r="F360" s="20">
        <f>0.25*5</f>
        <v>1.25</v>
      </c>
      <c r="H360" t="s">
        <v>18</v>
      </c>
      <c r="I360" t="s">
        <v>18</v>
      </c>
      <c r="K360" s="18">
        <f>0.25*5</f>
        <v>1.25</v>
      </c>
      <c r="L360" s="18">
        <f>0.25*5</f>
        <v>1.25</v>
      </c>
      <c r="M360" t="s">
        <v>225</v>
      </c>
      <c r="N360" t="s">
        <v>675</v>
      </c>
      <c r="O360" s="2" t="s">
        <v>1099</v>
      </c>
    </row>
    <row r="361" spans="1:15" x14ac:dyDescent="0.25">
      <c r="A361" t="s">
        <v>219</v>
      </c>
      <c r="B361" t="s">
        <v>226</v>
      </c>
      <c r="C361" s="26" t="s">
        <v>1096</v>
      </c>
      <c r="D361" s="13"/>
      <c r="E361" s="13"/>
      <c r="F361" s="17">
        <f>K361</f>
        <v>1E-3</v>
      </c>
      <c r="K361" s="18">
        <v>1E-3</v>
      </c>
      <c r="M361" t="s">
        <v>229</v>
      </c>
      <c r="N361" t="s">
        <v>676</v>
      </c>
      <c r="O361" s="2" t="s">
        <v>1100</v>
      </c>
    </row>
    <row r="362" spans="1:15" x14ac:dyDescent="0.25">
      <c r="A362" t="s">
        <v>219</v>
      </c>
      <c r="B362" t="s">
        <v>231</v>
      </c>
      <c r="C362" s="13" t="s">
        <v>1101</v>
      </c>
      <c r="D362" s="13"/>
      <c r="E362" s="13"/>
      <c r="F362" s="17">
        <v>14.2</v>
      </c>
      <c r="K362" s="18"/>
      <c r="L362">
        <v>14.2</v>
      </c>
      <c r="M362" t="s">
        <v>223</v>
      </c>
      <c r="N362" t="s">
        <v>677</v>
      </c>
      <c r="O362" s="2" t="s">
        <v>1109</v>
      </c>
    </row>
    <row r="363" spans="1:15" x14ac:dyDescent="0.25">
      <c r="A363" t="s">
        <v>219</v>
      </c>
      <c r="B363" t="s">
        <v>232</v>
      </c>
      <c r="C363" s="16" t="s">
        <v>1102</v>
      </c>
      <c r="D363" s="16"/>
      <c r="E363" s="16"/>
      <c r="F363" s="17">
        <v>7.3999999999999996E-2</v>
      </c>
      <c r="I363" t="s">
        <v>18</v>
      </c>
      <c r="L363" s="17">
        <v>7.3999999999999996E-2</v>
      </c>
      <c r="M363" t="s">
        <v>164</v>
      </c>
      <c r="N363" t="s">
        <v>678</v>
      </c>
      <c r="O363" s="2" t="s">
        <v>1110</v>
      </c>
    </row>
    <row r="364" spans="1:15" x14ac:dyDescent="0.25">
      <c r="A364" t="s">
        <v>219</v>
      </c>
      <c r="B364" t="s">
        <v>232</v>
      </c>
      <c r="C364" s="16" t="s">
        <v>1103</v>
      </c>
      <c r="D364" s="16"/>
      <c r="E364" s="16"/>
      <c r="F364" s="17">
        <v>1.9259999999999999</v>
      </c>
      <c r="I364" t="s">
        <v>18</v>
      </c>
      <c r="L364" s="17">
        <v>1.9259999999999999</v>
      </c>
      <c r="M364" t="s">
        <v>164</v>
      </c>
      <c r="N364" t="s">
        <v>679</v>
      </c>
      <c r="O364" s="2" t="s">
        <v>1099</v>
      </c>
    </row>
    <row r="365" spans="1:15" s="5" customFormat="1" x14ac:dyDescent="0.25">
      <c r="A365" t="s">
        <v>233</v>
      </c>
      <c r="B365" s="13" t="s">
        <v>1104</v>
      </c>
      <c r="C365" s="48"/>
      <c r="D365" s="48"/>
      <c r="E365" s="48"/>
      <c r="F365" s="14">
        <v>3.0000000000000001E-3</v>
      </c>
      <c r="G365" s="48"/>
      <c r="H365" s="48"/>
      <c r="I365" s="48"/>
      <c r="J365"/>
      <c r="K365"/>
      <c r="L365" s="15">
        <v>3.0000000000000001E-3</v>
      </c>
      <c r="M365" t="s">
        <v>234</v>
      </c>
      <c r="N365" t="s">
        <v>680</v>
      </c>
      <c r="O365" s="3" t="s">
        <v>1111</v>
      </c>
    </row>
    <row r="366" spans="1:15" x14ac:dyDescent="0.25">
      <c r="A366" t="s">
        <v>233</v>
      </c>
      <c r="B366" t="s">
        <v>235</v>
      </c>
      <c r="C366" s="13" t="s">
        <v>236</v>
      </c>
      <c r="D366" t="s">
        <v>1105</v>
      </c>
      <c r="F366" s="20">
        <f>MAX(K366,L366)</f>
        <v>7.1412000000000004</v>
      </c>
      <c r="G366" t="s">
        <v>18</v>
      </c>
      <c r="K366" s="49">
        <f>3.37+2.13</f>
        <v>5.5</v>
      </c>
      <c r="L366" s="19">
        <f>1.458+0.01+0.718+0.5+2.854+0.6962+0.905</f>
        <v>7.1412000000000004</v>
      </c>
      <c r="M366" t="s">
        <v>237</v>
      </c>
      <c r="N366" t="s">
        <v>681</v>
      </c>
      <c r="O366" s="2" t="s">
        <v>1112</v>
      </c>
    </row>
    <row r="367" spans="1:15" x14ac:dyDescent="0.25">
      <c r="A367" t="s">
        <v>233</v>
      </c>
      <c r="B367" t="s">
        <v>235</v>
      </c>
      <c r="C367" s="13" t="s">
        <v>236</v>
      </c>
      <c r="D367" t="s">
        <v>238</v>
      </c>
      <c r="F367" s="20">
        <v>0.1</v>
      </c>
      <c r="G367" t="s">
        <v>18</v>
      </c>
      <c r="K367" s="49"/>
      <c r="L367" s="19">
        <f>0.1</f>
        <v>0.1</v>
      </c>
      <c r="M367" t="s">
        <v>237</v>
      </c>
      <c r="N367" t="s">
        <v>682</v>
      </c>
      <c r="O367" s="2" t="s">
        <v>1112</v>
      </c>
    </row>
    <row r="368" spans="1:15" x14ac:dyDescent="0.25">
      <c r="A368" t="s">
        <v>233</v>
      </c>
      <c r="B368" t="s">
        <v>235</v>
      </c>
      <c r="C368" s="13" t="s">
        <v>236</v>
      </c>
      <c r="D368" t="s">
        <v>239</v>
      </c>
      <c r="F368" s="17">
        <v>0.02</v>
      </c>
      <c r="G368" t="s">
        <v>18</v>
      </c>
      <c r="K368" s="18"/>
      <c r="L368" s="50">
        <v>0.02</v>
      </c>
      <c r="M368" t="s">
        <v>164</v>
      </c>
      <c r="N368" t="s">
        <v>683</v>
      </c>
      <c r="O368" s="2" t="s">
        <v>1113</v>
      </c>
    </row>
    <row r="369" spans="1:15" x14ac:dyDescent="0.25">
      <c r="A369" t="s">
        <v>233</v>
      </c>
      <c r="B369" t="s">
        <v>235</v>
      </c>
      <c r="C369" s="13" t="s">
        <v>236</v>
      </c>
      <c r="D369" t="s">
        <v>240</v>
      </c>
      <c r="F369" s="51">
        <f>0.088</f>
        <v>8.7999999999999995E-2</v>
      </c>
      <c r="G369" t="s">
        <v>18</v>
      </c>
      <c r="K369" s="18"/>
      <c r="L369" s="50">
        <v>8.7999999999999995E-2</v>
      </c>
      <c r="M369" t="s">
        <v>164</v>
      </c>
      <c r="N369" t="s">
        <v>684</v>
      </c>
      <c r="O369" s="2" t="s">
        <v>1113</v>
      </c>
    </row>
    <row r="370" spans="1:15" x14ac:dyDescent="0.25">
      <c r="A370" t="s">
        <v>233</v>
      </c>
      <c r="B370" t="s">
        <v>235</v>
      </c>
      <c r="C370" t="s">
        <v>241</v>
      </c>
      <c r="D370" s="16"/>
      <c r="E370" s="16"/>
      <c r="F370" s="14">
        <v>0.25</v>
      </c>
      <c r="H370" t="s">
        <v>18</v>
      </c>
      <c r="K370" s="41">
        <v>0.25</v>
      </c>
      <c r="L370" s="19">
        <v>0.25</v>
      </c>
      <c r="M370" t="s">
        <v>164</v>
      </c>
      <c r="N370" t="s">
        <v>685</v>
      </c>
      <c r="O370" s="2" t="s">
        <v>1114</v>
      </c>
    </row>
    <row r="371" spans="1:15" x14ac:dyDescent="0.25">
      <c r="A371" t="s">
        <v>233</v>
      </c>
      <c r="B371" t="s">
        <v>235</v>
      </c>
      <c r="C371" s="16" t="s">
        <v>1106</v>
      </c>
      <c r="D371" s="16"/>
      <c r="E371" s="16"/>
      <c r="F371" s="14">
        <f>0.01</f>
        <v>0.01</v>
      </c>
      <c r="K371" s="41"/>
      <c r="L371" s="19">
        <f>0.01</f>
        <v>0.01</v>
      </c>
      <c r="M371" t="s">
        <v>164</v>
      </c>
      <c r="N371" t="s">
        <v>686</v>
      </c>
      <c r="O371" s="2" t="s">
        <v>1115</v>
      </c>
    </row>
    <row r="372" spans="1:15" x14ac:dyDescent="0.25">
      <c r="A372" t="s">
        <v>233</v>
      </c>
      <c r="B372" t="s">
        <v>235</v>
      </c>
      <c r="C372" t="s">
        <v>1107</v>
      </c>
      <c r="D372" s="16"/>
      <c r="E372" s="16"/>
      <c r="F372" s="14">
        <f>0.008</f>
        <v>8.0000000000000002E-3</v>
      </c>
      <c r="G372" t="s">
        <v>18</v>
      </c>
      <c r="K372" s="41">
        <v>8.0000000000000002E-3</v>
      </c>
      <c r="L372" s="19"/>
      <c r="M372" t="s">
        <v>242</v>
      </c>
      <c r="N372" t="s">
        <v>687</v>
      </c>
      <c r="O372" s="2" t="s">
        <v>1116</v>
      </c>
    </row>
    <row r="373" spans="1:15" x14ac:dyDescent="0.25">
      <c r="A373" t="s">
        <v>233</v>
      </c>
      <c r="B373" t="s">
        <v>235</v>
      </c>
      <c r="C373" t="s">
        <v>243</v>
      </c>
      <c r="D373" s="16"/>
      <c r="E373" s="16"/>
      <c r="F373" s="14">
        <f>0.09*2</f>
        <v>0.18</v>
      </c>
      <c r="G373" t="s">
        <v>18</v>
      </c>
      <c r="H373" t="s">
        <v>18</v>
      </c>
      <c r="K373" s="15">
        <f>0.09*2</f>
        <v>0.18</v>
      </c>
      <c r="L373" s="19"/>
      <c r="M373" t="s">
        <v>164</v>
      </c>
      <c r="N373" t="s">
        <v>688</v>
      </c>
      <c r="O373" s="2" t="s">
        <v>1117</v>
      </c>
    </row>
    <row r="374" spans="1:15" x14ac:dyDescent="0.25">
      <c r="A374" t="s">
        <v>233</v>
      </c>
      <c r="B374" t="s">
        <v>235</v>
      </c>
      <c r="C374" t="s">
        <v>244</v>
      </c>
      <c r="D374" s="16"/>
      <c r="E374" s="16"/>
      <c r="F374" s="17">
        <v>0.20080000000000001</v>
      </c>
      <c r="K374" s="18"/>
      <c r="L374" s="19">
        <v>0.20080000000000001</v>
      </c>
      <c r="M374" t="s">
        <v>164</v>
      </c>
      <c r="N374" t="s">
        <v>689</v>
      </c>
      <c r="O374" s="2" t="s">
        <v>1118</v>
      </c>
    </row>
    <row r="375" spans="1:15" s="5" customFormat="1" x14ac:dyDescent="0.25">
      <c r="A375" t="s">
        <v>233</v>
      </c>
      <c r="B375" t="s">
        <v>235</v>
      </c>
      <c r="C375" s="13" t="s">
        <v>1108</v>
      </c>
      <c r="D375" s="13"/>
      <c r="E375" s="13"/>
      <c r="F375" s="17">
        <f>0.05+0.05</f>
        <v>0.1</v>
      </c>
      <c r="G375" t="s">
        <v>18</v>
      </c>
      <c r="H375"/>
      <c r="I375"/>
      <c r="J375"/>
      <c r="K375" s="41"/>
      <c r="L375" s="17">
        <f>0.05+0.05</f>
        <v>0.1</v>
      </c>
      <c r="M375" t="s">
        <v>165</v>
      </c>
      <c r="N375" t="s">
        <v>690</v>
      </c>
      <c r="O375" s="3" t="s">
        <v>1119</v>
      </c>
    </row>
    <row r="376" spans="1:15" x14ac:dyDescent="0.25">
      <c r="A376" t="s">
        <v>233</v>
      </c>
      <c r="B376" s="13" t="s">
        <v>245</v>
      </c>
      <c r="C376" s="13" t="s">
        <v>1120</v>
      </c>
      <c r="D376" s="13"/>
      <c r="E376" s="13"/>
      <c r="F376" s="17">
        <v>3.5</v>
      </c>
      <c r="I376" t="s">
        <v>18</v>
      </c>
      <c r="L376" s="45">
        <v>3.5</v>
      </c>
      <c r="M376" t="s">
        <v>21</v>
      </c>
      <c r="N376" t="s">
        <v>691</v>
      </c>
      <c r="O376" s="2" t="s">
        <v>1005</v>
      </c>
    </row>
    <row r="377" spans="1:15" x14ac:dyDescent="0.25">
      <c r="A377" t="s">
        <v>233</v>
      </c>
      <c r="B377" s="13" t="s">
        <v>245</v>
      </c>
      <c r="C377" s="13" t="s">
        <v>246</v>
      </c>
      <c r="D377" t="s">
        <v>1121</v>
      </c>
      <c r="F377" s="17">
        <f>L377</f>
        <v>1.2</v>
      </c>
      <c r="L377" s="52">
        <v>1.2</v>
      </c>
      <c r="M377" t="s">
        <v>21</v>
      </c>
      <c r="N377" t="s">
        <v>692</v>
      </c>
      <c r="O377" s="2" t="s">
        <v>1005</v>
      </c>
    </row>
    <row r="378" spans="1:15" x14ac:dyDescent="0.25">
      <c r="A378" t="s">
        <v>233</v>
      </c>
      <c r="B378" s="13" t="s">
        <v>245</v>
      </c>
      <c r="C378" s="13" t="s">
        <v>246</v>
      </c>
      <c r="D378" t="s">
        <v>1122</v>
      </c>
      <c r="F378" s="17">
        <f>L378</f>
        <v>0.3</v>
      </c>
      <c r="L378" s="52">
        <v>0.3</v>
      </c>
      <c r="M378" t="s">
        <v>21</v>
      </c>
      <c r="N378" t="s">
        <v>693</v>
      </c>
      <c r="O378" s="2" t="s">
        <v>1005</v>
      </c>
    </row>
    <row r="379" spans="1:15" x14ac:dyDescent="0.25">
      <c r="A379" t="s">
        <v>233</v>
      </c>
      <c r="B379" s="13" t="s">
        <v>245</v>
      </c>
      <c r="C379" s="13" t="s">
        <v>1123</v>
      </c>
      <c r="F379" s="17">
        <v>0.1</v>
      </c>
      <c r="L379" s="52">
        <v>0.1</v>
      </c>
      <c r="M379" t="s">
        <v>21</v>
      </c>
      <c r="N379" t="s">
        <v>694</v>
      </c>
      <c r="O379" s="2" t="s">
        <v>1125</v>
      </c>
    </row>
    <row r="380" spans="1:15" x14ac:dyDescent="0.25">
      <c r="A380" t="s">
        <v>233</v>
      </c>
      <c r="B380" s="13" t="s">
        <v>245</v>
      </c>
      <c r="C380" s="13" t="s">
        <v>1124</v>
      </c>
      <c r="F380" s="17">
        <v>0.27500000000000002</v>
      </c>
      <c r="L380" s="52">
        <v>0.27500000000000002</v>
      </c>
      <c r="M380" t="s">
        <v>21</v>
      </c>
      <c r="N380" t="s">
        <v>695</v>
      </c>
      <c r="O380" s="2" t="s">
        <v>1005</v>
      </c>
    </row>
    <row r="381" spans="1:15" x14ac:dyDescent="0.25">
      <c r="A381" t="s">
        <v>233</v>
      </c>
      <c r="B381" s="13" t="s">
        <v>245</v>
      </c>
      <c r="C381" s="16" t="s">
        <v>247</v>
      </c>
      <c r="D381" s="16"/>
      <c r="E381" s="16"/>
      <c r="F381" s="17">
        <f>L381</f>
        <v>2.5000000000000001E-2</v>
      </c>
      <c r="G381" t="s">
        <v>18</v>
      </c>
      <c r="H381" t="s">
        <v>18</v>
      </c>
      <c r="K381" s="18">
        <f>0.01+0.015</f>
        <v>2.5000000000000001E-2</v>
      </c>
      <c r="L381" s="20">
        <f>0.01+0.015</f>
        <v>2.5000000000000001E-2</v>
      </c>
      <c r="M381" t="s">
        <v>21</v>
      </c>
      <c r="N381" t="s">
        <v>696</v>
      </c>
      <c r="O381" s="2" t="s">
        <v>1126</v>
      </c>
    </row>
    <row r="382" spans="1:15" x14ac:dyDescent="0.25">
      <c r="A382" t="s">
        <v>233</v>
      </c>
      <c r="B382" s="13" t="s">
        <v>245</v>
      </c>
      <c r="C382" s="16" t="s">
        <v>248</v>
      </c>
      <c r="D382" s="16"/>
      <c r="E382" s="16"/>
      <c r="F382" s="17">
        <f>L382</f>
        <v>7.4999999999999997E-2</v>
      </c>
      <c r="G382" t="s">
        <v>18</v>
      </c>
      <c r="H382" t="s">
        <v>18</v>
      </c>
      <c r="I382" t="s">
        <v>18</v>
      </c>
      <c r="K382" s="18">
        <f>0.015*5</f>
        <v>7.4999999999999997E-2</v>
      </c>
      <c r="L382" s="19">
        <v>7.4999999999999997E-2</v>
      </c>
      <c r="M382" t="s">
        <v>21</v>
      </c>
      <c r="N382" t="s">
        <v>697</v>
      </c>
      <c r="O382" s="2" t="s">
        <v>1126</v>
      </c>
    </row>
    <row r="383" spans="1:15" x14ac:dyDescent="0.25">
      <c r="A383" t="s">
        <v>233</v>
      </c>
      <c r="B383" s="13" t="s">
        <v>245</v>
      </c>
      <c r="C383" s="16" t="s">
        <v>249</v>
      </c>
      <c r="D383" s="16"/>
      <c r="E383" s="16"/>
      <c r="F383" s="17">
        <f>L383</f>
        <v>0.01</v>
      </c>
      <c r="H383" t="s">
        <v>18</v>
      </c>
      <c r="K383" s="18">
        <f>0.002*2</f>
        <v>4.0000000000000001E-3</v>
      </c>
      <c r="L383">
        <v>0.01</v>
      </c>
      <c r="M383" t="s">
        <v>164</v>
      </c>
      <c r="N383" t="s">
        <v>698</v>
      </c>
      <c r="O383" s="2" t="s">
        <v>1127</v>
      </c>
    </row>
    <row r="384" spans="1:15" x14ac:dyDescent="0.25">
      <c r="A384" t="s">
        <v>233</v>
      </c>
      <c r="B384" s="13" t="s">
        <v>250</v>
      </c>
      <c r="C384" s="13"/>
      <c r="D384" s="13"/>
      <c r="E384" s="31"/>
      <c r="F384" s="17">
        <v>0.5</v>
      </c>
      <c r="G384" s="42"/>
      <c r="H384" s="42"/>
      <c r="I384" s="42"/>
      <c r="L384">
        <v>0.5</v>
      </c>
      <c r="M384" t="s">
        <v>174</v>
      </c>
      <c r="N384" t="s">
        <v>699</v>
      </c>
      <c r="O384" s="2" t="s">
        <v>1128</v>
      </c>
    </row>
    <row r="385" spans="1:15" x14ac:dyDescent="0.25">
      <c r="A385" t="s">
        <v>233</v>
      </c>
      <c r="B385" s="13" t="s">
        <v>251</v>
      </c>
      <c r="C385" s="13" t="s">
        <v>252</v>
      </c>
      <c r="D385" s="42"/>
      <c r="E385" s="42"/>
      <c r="F385" s="17">
        <v>0.13</v>
      </c>
      <c r="G385" s="13" t="s">
        <v>18</v>
      </c>
      <c r="H385" s="42"/>
      <c r="I385" s="42"/>
      <c r="L385">
        <v>0.13</v>
      </c>
      <c r="M385" t="s">
        <v>80</v>
      </c>
      <c r="N385" t="s">
        <v>700</v>
      </c>
      <c r="O385" s="2" t="s">
        <v>1129</v>
      </c>
    </row>
    <row r="386" spans="1:15" x14ac:dyDescent="0.25">
      <c r="A386" t="s">
        <v>233</v>
      </c>
      <c r="B386" s="13" t="s">
        <v>251</v>
      </c>
      <c r="C386" s="13" t="s">
        <v>253</v>
      </c>
      <c r="D386" s="42"/>
      <c r="E386" s="42"/>
      <c r="F386" s="17">
        <v>8.5999999999999993E-2</v>
      </c>
      <c r="G386" s="13" t="s">
        <v>18</v>
      </c>
      <c r="H386" s="42"/>
      <c r="I386" s="42"/>
      <c r="L386">
        <v>8.5999999999999993E-2</v>
      </c>
      <c r="M386" t="s">
        <v>80</v>
      </c>
      <c r="N386" t="s">
        <v>701</v>
      </c>
      <c r="O386" s="2" t="s">
        <v>1129</v>
      </c>
    </row>
    <row r="387" spans="1:15" x14ac:dyDescent="0.25">
      <c r="A387" t="s">
        <v>233</v>
      </c>
      <c r="B387" s="13" t="s">
        <v>251</v>
      </c>
      <c r="C387" s="13" t="s">
        <v>254</v>
      </c>
      <c r="D387" s="42"/>
      <c r="E387" s="42"/>
      <c r="F387" s="14">
        <v>0.25</v>
      </c>
      <c r="G387" s="42"/>
      <c r="H387" s="42"/>
      <c r="I387" s="42"/>
      <c r="L387" s="15">
        <v>0.25</v>
      </c>
      <c r="M387" t="s">
        <v>80</v>
      </c>
      <c r="N387" t="s">
        <v>702</v>
      </c>
      <c r="O387" s="2" t="s">
        <v>1130</v>
      </c>
    </row>
    <row r="388" spans="1:15" x14ac:dyDescent="0.25">
      <c r="A388" t="s">
        <v>255</v>
      </c>
      <c r="B388" s="13" t="s">
        <v>256</v>
      </c>
      <c r="C388" s="48"/>
      <c r="D388" s="48"/>
      <c r="E388" s="48"/>
      <c r="F388" s="17">
        <v>3.5</v>
      </c>
      <c r="G388" s="48"/>
      <c r="H388" s="48"/>
      <c r="I388" s="48"/>
      <c r="L388">
        <v>3.5</v>
      </c>
      <c r="M388" t="s">
        <v>157</v>
      </c>
      <c r="N388" t="s">
        <v>703</v>
      </c>
      <c r="O388" s="2" t="s">
        <v>1131</v>
      </c>
    </row>
    <row r="389" spans="1:15" s="5" customFormat="1" x14ac:dyDescent="0.25">
      <c r="A389" t="s">
        <v>255</v>
      </c>
      <c r="B389" s="13" t="s">
        <v>257</v>
      </c>
      <c r="C389" s="48"/>
      <c r="D389" s="48"/>
      <c r="E389" s="48"/>
      <c r="F389" s="14">
        <v>0.1575</v>
      </c>
      <c r="G389" s="48"/>
      <c r="H389" s="48"/>
      <c r="I389" s="48"/>
      <c r="J389"/>
      <c r="K389"/>
      <c r="L389" s="15">
        <v>0.1575</v>
      </c>
      <c r="M389" t="s">
        <v>258</v>
      </c>
      <c r="N389" t="s">
        <v>704</v>
      </c>
      <c r="O389" s="3" t="s">
        <v>1132</v>
      </c>
    </row>
    <row r="390" spans="1:15" s="5" customFormat="1" x14ac:dyDescent="0.25">
      <c r="A390" t="s">
        <v>255</v>
      </c>
      <c r="B390" s="13" t="s">
        <v>259</v>
      </c>
      <c r="C390" s="13" t="s">
        <v>75</v>
      </c>
      <c r="D390" s="42"/>
      <c r="E390" s="42"/>
      <c r="F390" s="14">
        <v>1</v>
      </c>
      <c r="G390" s="42"/>
      <c r="H390" s="42"/>
      <c r="I390" s="42"/>
      <c r="J390"/>
      <c r="K390"/>
      <c r="L390" s="15">
        <v>1</v>
      </c>
      <c r="M390" s="13" t="s">
        <v>75</v>
      </c>
      <c r="N390" t="s">
        <v>705</v>
      </c>
      <c r="O390" s="3" t="s">
        <v>759</v>
      </c>
    </row>
    <row r="391" spans="1:15" s="5" customFormat="1" x14ac:dyDescent="0.25">
      <c r="A391" t="s">
        <v>255</v>
      </c>
      <c r="B391" s="13" t="s">
        <v>259</v>
      </c>
      <c r="C391" s="13" t="s">
        <v>260</v>
      </c>
      <c r="D391" s="42"/>
      <c r="E391" s="42"/>
      <c r="F391" s="14">
        <v>0.15</v>
      </c>
      <c r="G391" s="42"/>
      <c r="H391" s="42"/>
      <c r="I391" s="42"/>
      <c r="J391"/>
      <c r="K391"/>
      <c r="L391" s="15">
        <v>0.15</v>
      </c>
      <c r="M391" s="13" t="s">
        <v>260</v>
      </c>
      <c r="N391" t="s">
        <v>706</v>
      </c>
      <c r="O391" s="3" t="s">
        <v>1133</v>
      </c>
    </row>
    <row r="392" spans="1:15" s="5" customFormat="1" x14ac:dyDescent="0.25">
      <c r="A392" t="s">
        <v>255</v>
      </c>
      <c r="B392" s="13" t="s">
        <v>259</v>
      </c>
      <c r="C392" s="13" t="s">
        <v>78</v>
      </c>
      <c r="D392" s="42"/>
      <c r="E392" s="42"/>
      <c r="F392" s="15">
        <v>7.4999999999999997E-2</v>
      </c>
      <c r="G392" s="42"/>
      <c r="H392" s="42"/>
      <c r="I392" s="42"/>
      <c r="J392"/>
      <c r="K392"/>
      <c r="L392" s="15">
        <v>7.4999999999999997E-2</v>
      </c>
      <c r="M392" s="13" t="s">
        <v>78</v>
      </c>
      <c r="N392" t="s">
        <v>707</v>
      </c>
      <c r="O392" s="3" t="s">
        <v>1134</v>
      </c>
    </row>
    <row r="393" spans="1:15" s="5" customFormat="1" x14ac:dyDescent="0.25">
      <c r="A393" t="s">
        <v>255</v>
      </c>
      <c r="B393" s="13" t="s">
        <v>259</v>
      </c>
      <c r="C393" s="13" t="s">
        <v>261</v>
      </c>
      <c r="D393" s="42"/>
      <c r="E393" s="42"/>
      <c r="F393" s="14">
        <v>0.15</v>
      </c>
      <c r="G393" s="42"/>
      <c r="H393" s="42"/>
      <c r="I393" s="42"/>
      <c r="J393"/>
      <c r="K393"/>
      <c r="L393" s="15">
        <v>0.15</v>
      </c>
      <c r="M393" s="13" t="s">
        <v>261</v>
      </c>
      <c r="N393" t="s">
        <v>708</v>
      </c>
      <c r="O393" s="3" t="s">
        <v>1135</v>
      </c>
    </row>
    <row r="394" spans="1:15" x14ac:dyDescent="0.25">
      <c r="A394" t="s">
        <v>255</v>
      </c>
      <c r="B394" s="13" t="s">
        <v>259</v>
      </c>
      <c r="C394" s="13" t="s">
        <v>262</v>
      </c>
      <c r="D394" s="42"/>
      <c r="E394" s="42"/>
      <c r="F394" s="14">
        <v>5.0000000000000001E-3</v>
      </c>
      <c r="G394" s="42"/>
      <c r="H394" s="42"/>
      <c r="I394" s="42"/>
      <c r="L394" s="15">
        <v>5.0000000000000001E-3</v>
      </c>
      <c r="M394" s="13" t="s">
        <v>262</v>
      </c>
      <c r="N394" t="s">
        <v>709</v>
      </c>
      <c r="O394" s="2" t="s">
        <v>1136</v>
      </c>
    </row>
    <row r="395" spans="1:15" x14ac:dyDescent="0.25">
      <c r="A395" t="s">
        <v>255</v>
      </c>
      <c r="B395" s="13" t="s">
        <v>259</v>
      </c>
      <c r="C395" s="13" t="s">
        <v>263</v>
      </c>
      <c r="D395" s="42"/>
      <c r="E395" s="42"/>
      <c r="F395" s="14">
        <v>1.25E-3</v>
      </c>
      <c r="G395" s="42"/>
      <c r="H395" s="42"/>
      <c r="I395" s="42"/>
      <c r="L395" s="15">
        <v>1.25E-3</v>
      </c>
      <c r="M395" s="13" t="s">
        <v>263</v>
      </c>
      <c r="N395" t="s">
        <v>710</v>
      </c>
      <c r="O395" s="2" t="s">
        <v>1136</v>
      </c>
    </row>
    <row r="396" spans="1:15" x14ac:dyDescent="0.25">
      <c r="A396" t="s">
        <v>255</v>
      </c>
      <c r="B396" s="13" t="s">
        <v>264</v>
      </c>
      <c r="C396" s="13" t="s">
        <v>265</v>
      </c>
      <c r="D396" s="42"/>
      <c r="E396" s="42"/>
      <c r="F396" s="14">
        <v>2.1000000000000001E-2</v>
      </c>
      <c r="G396" s="42"/>
      <c r="H396" s="42"/>
      <c r="I396" s="42"/>
      <c r="L396" s="15">
        <v>2.1000000000000001E-2</v>
      </c>
      <c r="M396" s="13" t="s">
        <v>265</v>
      </c>
      <c r="N396" t="s">
        <v>711</v>
      </c>
      <c r="O396" s="2" t="s">
        <v>1137</v>
      </c>
    </row>
    <row r="397" spans="1:15" x14ac:dyDescent="0.25">
      <c r="A397" t="s">
        <v>255</v>
      </c>
      <c r="B397" s="13" t="s">
        <v>264</v>
      </c>
      <c r="C397" s="16" t="s">
        <v>266</v>
      </c>
      <c r="D397" s="16"/>
      <c r="E397" s="16"/>
      <c r="F397" s="17">
        <f>L397</f>
        <v>0.1</v>
      </c>
      <c r="H397" t="s">
        <v>18</v>
      </c>
      <c r="K397" s="18">
        <f>0.02*5</f>
        <v>0.1</v>
      </c>
      <c r="L397">
        <v>0.1</v>
      </c>
      <c r="M397" t="s">
        <v>267</v>
      </c>
      <c r="N397" t="s">
        <v>712</v>
      </c>
      <c r="O397" s="2" t="s">
        <v>1138</v>
      </c>
    </row>
    <row r="398" spans="1:15" x14ac:dyDescent="0.25">
      <c r="A398" t="s">
        <v>255</v>
      </c>
      <c r="B398" s="13" t="s">
        <v>264</v>
      </c>
      <c r="C398" s="16" t="s">
        <v>268</v>
      </c>
      <c r="D398" s="16"/>
      <c r="E398" s="16"/>
      <c r="F398" s="17">
        <f>K398</f>
        <v>1.0000000000000002</v>
      </c>
      <c r="H398" t="s">
        <v>18</v>
      </c>
      <c r="I398" t="s">
        <v>18</v>
      </c>
      <c r="K398" s="18">
        <f>0.2+0.4+0.3+0.1</f>
        <v>1.0000000000000002</v>
      </c>
      <c r="L398" s="15">
        <v>1</v>
      </c>
      <c r="M398" t="s">
        <v>174</v>
      </c>
      <c r="N398" t="s">
        <v>713</v>
      </c>
      <c r="O398" s="2" t="s">
        <v>1138</v>
      </c>
    </row>
    <row r="399" spans="1:15" x14ac:dyDescent="0.25">
      <c r="A399" t="s">
        <v>255</v>
      </c>
      <c r="B399" s="13" t="s">
        <v>269</v>
      </c>
      <c r="C399" s="13" t="s">
        <v>1139</v>
      </c>
      <c r="D399" s="42"/>
      <c r="E399" s="42"/>
      <c r="F399" s="14">
        <v>0.33</v>
      </c>
      <c r="G399" s="42"/>
      <c r="H399" s="42"/>
      <c r="I399" s="42"/>
      <c r="L399" s="15">
        <v>0.33</v>
      </c>
      <c r="M399" t="s">
        <v>270</v>
      </c>
      <c r="N399" t="s">
        <v>714</v>
      </c>
      <c r="O399" s="2" t="s">
        <v>1145</v>
      </c>
    </row>
    <row r="400" spans="1:15" x14ac:dyDescent="0.25">
      <c r="A400" t="s">
        <v>255</v>
      </c>
      <c r="B400" s="13" t="s">
        <v>269</v>
      </c>
      <c r="C400" s="13" t="s">
        <v>1140</v>
      </c>
      <c r="D400" s="42"/>
      <c r="E400" s="42"/>
      <c r="F400" s="14">
        <v>0.1</v>
      </c>
      <c r="G400" s="42"/>
      <c r="H400" s="42"/>
      <c r="I400" s="42"/>
      <c r="L400" s="15">
        <v>0.1</v>
      </c>
      <c r="M400" t="s">
        <v>270</v>
      </c>
      <c r="N400" t="s">
        <v>715</v>
      </c>
      <c r="O400" s="2" t="s">
        <v>1145</v>
      </c>
    </row>
    <row r="401" spans="1:15" s="5" customFormat="1" x14ac:dyDescent="0.25">
      <c r="A401" t="s">
        <v>255</v>
      </c>
      <c r="B401" s="13" t="s">
        <v>271</v>
      </c>
      <c r="C401" s="13" t="s">
        <v>1141</v>
      </c>
      <c r="D401" s="48"/>
      <c r="E401" s="48"/>
      <c r="F401" s="14">
        <v>0.25</v>
      </c>
      <c r="G401" s="48"/>
      <c r="H401" s="48"/>
      <c r="I401" s="48"/>
      <c r="J401"/>
      <c r="K401"/>
      <c r="L401" s="15">
        <v>0.25</v>
      </c>
      <c r="M401" t="s">
        <v>272</v>
      </c>
      <c r="N401" t="s">
        <v>716</v>
      </c>
      <c r="O401" s="3" t="s">
        <v>1146</v>
      </c>
    </row>
    <row r="402" spans="1:15" s="5" customFormat="1" x14ac:dyDescent="0.25">
      <c r="A402" t="s">
        <v>255</v>
      </c>
      <c r="B402" s="13" t="s">
        <v>271</v>
      </c>
      <c r="C402" s="13" t="s">
        <v>273</v>
      </c>
      <c r="D402" s="48"/>
      <c r="E402" s="48"/>
      <c r="F402" s="14">
        <v>2.5278079999999998</v>
      </c>
      <c r="G402" s="48"/>
      <c r="H402" s="48"/>
      <c r="I402" s="48"/>
      <c r="J402"/>
      <c r="K402"/>
      <c r="L402" s="14">
        <v>2.5278079999999998</v>
      </c>
      <c r="M402" t="s">
        <v>272</v>
      </c>
      <c r="N402" t="s">
        <v>717</v>
      </c>
      <c r="O402" s="3" t="s">
        <v>1147</v>
      </c>
    </row>
    <row r="403" spans="1:15" s="5" customFormat="1" x14ac:dyDescent="0.25">
      <c r="A403" t="s">
        <v>255</v>
      </c>
      <c r="B403" s="13" t="s">
        <v>271</v>
      </c>
      <c r="C403" s="13" t="s">
        <v>274</v>
      </c>
      <c r="D403" s="48"/>
      <c r="E403" s="48"/>
      <c r="F403" s="14">
        <v>0.43020000000000003</v>
      </c>
      <c r="G403" s="48"/>
      <c r="H403" s="48"/>
      <c r="I403" s="48"/>
      <c r="J403"/>
      <c r="K403"/>
      <c r="L403" s="14">
        <v>0.43020000000000003</v>
      </c>
      <c r="M403" t="s">
        <v>272</v>
      </c>
      <c r="N403" t="s">
        <v>718</v>
      </c>
      <c r="O403" s="3" t="s">
        <v>1145</v>
      </c>
    </row>
    <row r="404" spans="1:15" s="5" customFormat="1" x14ac:dyDescent="0.25">
      <c r="A404" t="s">
        <v>255</v>
      </c>
      <c r="B404" s="13" t="s">
        <v>271</v>
      </c>
      <c r="C404" s="13" t="s">
        <v>1142</v>
      </c>
      <c r="D404" s="48"/>
      <c r="E404" s="48"/>
      <c r="F404" s="14">
        <v>0.21</v>
      </c>
      <c r="G404" s="48"/>
      <c r="H404" s="48"/>
      <c r="I404" s="48"/>
      <c r="J404"/>
      <c r="K404"/>
      <c r="L404" s="14">
        <v>0.21</v>
      </c>
      <c r="M404" t="s">
        <v>272</v>
      </c>
      <c r="N404" t="s">
        <v>719</v>
      </c>
      <c r="O404" s="3" t="s">
        <v>1145</v>
      </c>
    </row>
    <row r="405" spans="1:15" x14ac:dyDescent="0.25">
      <c r="A405" t="s">
        <v>255</v>
      </c>
      <c r="B405" t="s">
        <v>1143</v>
      </c>
      <c r="F405" s="17">
        <f>K405</f>
        <v>0.55000000000000004</v>
      </c>
      <c r="H405" t="s">
        <v>18</v>
      </c>
      <c r="K405" s="15">
        <f>0.11*5</f>
        <v>0.55000000000000004</v>
      </c>
      <c r="M405" t="s">
        <v>275</v>
      </c>
      <c r="N405" t="s">
        <v>720</v>
      </c>
      <c r="O405" s="2" t="s">
        <v>1148</v>
      </c>
    </row>
    <row r="406" spans="1:15" x14ac:dyDescent="0.25">
      <c r="A406" t="s">
        <v>255</v>
      </c>
      <c r="B406" t="s">
        <v>1144</v>
      </c>
      <c r="F406">
        <f>0.02*5</f>
        <v>0.1</v>
      </c>
      <c r="K406">
        <f>0.02*5</f>
        <v>0.1</v>
      </c>
      <c r="M406" t="s">
        <v>22</v>
      </c>
      <c r="N406" t="s">
        <v>721</v>
      </c>
      <c r="O406" s="2" t="s">
        <v>732</v>
      </c>
    </row>
    <row r="408" spans="1:15" x14ac:dyDescent="0.25">
      <c r="D408" t="s">
        <v>230</v>
      </c>
    </row>
    <row r="415" spans="1:15" x14ac:dyDescent="0.25">
      <c r="C415" s="53"/>
    </row>
    <row r="416" spans="1:15" x14ac:dyDescent="0.25">
      <c r="C416" s="53"/>
    </row>
    <row r="418" spans="6:6" x14ac:dyDescent="0.25">
      <c r="F418" s="44"/>
    </row>
    <row r="419" spans="6:6" x14ac:dyDescent="0.25">
      <c r="F419" s="44"/>
    </row>
    <row r="420" spans="6:6" x14ac:dyDescent="0.25">
      <c r="F420" s="44"/>
    </row>
    <row r="421" spans="6:6" x14ac:dyDescent="0.25">
      <c r="F421" s="44"/>
    </row>
    <row r="422" spans="6:6" x14ac:dyDescent="0.25">
      <c r="F422" s="44"/>
    </row>
  </sheetData>
  <sheetProtection algorithmName="SHA-512" hashValue="U7sAhBdyV78QbPvKgIDkLEr60D8NUDHY1hbTwderTM7DjBD7j2k1O5fJUilJLhU6fCCKTzXjhqh+UkIUfQGE1Q==" saltValue="L4LRBjadxEWbBuu99RdOQA==" spinCount="100000" sheet="1" objects="1" scenarios="1"/>
  <autoFilter ref="A1:N1" xr:uid="{BB9BD095-E5A1-4F0B-903C-98D410A5D9F6}"/>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BCA06D07AFA34FA32E32FAB908F8EE" ma:contentTypeVersion="13" ma:contentTypeDescription="Create a new document." ma:contentTypeScope="" ma:versionID="c7148f5f780c2f9c967fdb91a888856b">
  <xsd:schema xmlns:xsd="http://www.w3.org/2001/XMLSchema" xmlns:xs="http://www.w3.org/2001/XMLSchema" xmlns:p="http://schemas.microsoft.com/office/2006/metadata/properties" xmlns:ns2="ad478f6c-a06e-464b-855a-e0b152cb817b" xmlns:ns3="8bdebe45-587c-4cf0-9ae0-93c028cb9196" targetNamespace="http://schemas.microsoft.com/office/2006/metadata/properties" ma:root="true" ma:fieldsID="c837d08f25290267342ddf8d970e104f" ns2:_="" ns3:_="">
    <xsd:import namespace="ad478f6c-a06e-464b-855a-e0b152cb817b"/>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78f6c-a06e-464b-855a-e0b152cb8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bdebe45-587c-4cf0-9ae0-93c028cb9196">
      <UserInfo>
        <DisplayName>Adie Tomer</DisplayName>
        <AccountId>129</AccountId>
        <AccountType/>
      </UserInfo>
      <UserInfo>
        <DisplayName>Joseph Kane</DisplayName>
        <AccountId>809</AccountId>
        <AccountType/>
      </UserInfo>
      <UserInfo>
        <DisplayName>Andrew Bourne</DisplayName>
        <AccountId>7981</AccountId>
        <AccountType/>
      </UserInfo>
      <UserInfo>
        <DisplayName>Alec Friedhoff</DisplayName>
        <AccountId>2305</AccountId>
        <AccountType/>
      </UserInfo>
      <UserInfo>
        <DisplayName>David Lanham</DisplayName>
        <AccountId>13</AccountId>
        <AccountType/>
      </UserInfo>
      <UserInfo>
        <DisplayName>Mona Tong</DisplayName>
        <AccountId>8137</AccountId>
        <AccountType/>
      </UserInfo>
    </SharedWithUsers>
  </documentManagement>
</p:properties>
</file>

<file path=customXml/itemProps1.xml><?xml version="1.0" encoding="utf-8"?>
<ds:datastoreItem xmlns:ds="http://schemas.openxmlformats.org/officeDocument/2006/customXml" ds:itemID="{FA70E16D-1305-4F20-8984-2D969096B644}">
  <ds:schemaRefs>
    <ds:schemaRef ds:uri="http://schemas.microsoft.com/sharepoint/v3/contenttype/forms"/>
  </ds:schemaRefs>
</ds:datastoreItem>
</file>

<file path=customXml/itemProps2.xml><?xml version="1.0" encoding="utf-8"?>
<ds:datastoreItem xmlns:ds="http://schemas.openxmlformats.org/officeDocument/2006/customXml" ds:itemID="{9B45040E-347D-4F77-9289-DE5DE54D1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478f6c-a06e-464b-855a-e0b152cb817b"/>
    <ds:schemaRef ds:uri="8bdebe45-587c-4cf0-9ae0-93c028cb9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9C3719-07AF-4776-8420-030946AA823A}">
  <ds:schemaRefs>
    <ds:schemaRef ds:uri="http://schemas.microsoft.com/office/2006/metadata/properties"/>
    <ds:schemaRef ds:uri="http://schemas.microsoft.com/office/infopath/2007/PartnerControls"/>
    <ds:schemaRef ds:uri="8bdebe45-587c-4cf0-9ae0-93c028cb91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IIJA</vt:lpstr>
      <vt:lpstr>IIJA!_Hlk93959474</vt:lpstr>
      <vt:lpstr>IIJA!_Hlk93959505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George</dc:creator>
  <cp:keywords/>
  <dc:description/>
  <cp:lastModifiedBy>Caroline George</cp:lastModifiedBy>
  <cp:revision/>
  <dcterms:created xsi:type="dcterms:W3CDTF">2015-06-05T18:17:20Z</dcterms:created>
  <dcterms:modified xsi:type="dcterms:W3CDTF">2022-01-28T16:16:33Z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0x0101003BBCA06D07AFA34FA32E32FAB908F8EE</vt:lpwstr>
  </property>
</Properties>
</file>