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so\OneDrive\Work\Writing\BPEA Tax\Data\"/>
    </mc:Choice>
  </mc:AlternateContent>
  <bookViews>
    <workbookView xWindow="0" yWindow="0" windowWidth="23040" windowHeight="8400" activeTab="1"/>
  </bookViews>
  <sheets>
    <sheet name="Readme" sheetId="11" r:id="rId1"/>
    <sheet name="Output" sheetId="8" r:id="rId2"/>
    <sheet name="UC_K_Y" sheetId="5" r:id="rId3"/>
    <sheet name="Fiscal" sheetId="6" r:id="rId4"/>
    <sheet name="CCR" sheetId="4" r:id="rId5"/>
    <sheet name="EconParam" sheetId="1" r:id="rId6"/>
    <sheet name="PolicyParam" sheetId="3" r:id="rId7"/>
    <sheet name="DebtService" sheetId="7" r:id="rId8"/>
    <sheet name="Alpha" sheetId="9" r:id="rId9"/>
    <sheet name="EconDeprecData" sheetId="10" r:id="rId10"/>
  </sheets>
  <definedNames>
    <definedName name="alpha">EconParam!$D$13</definedName>
    <definedName name="alpha_c_eq">EconParam!$D$15</definedName>
    <definedName name="alpha_c_ip">EconParam!$D$19</definedName>
    <definedName name="alpha_c_rd">EconParam!$D$18</definedName>
    <definedName name="alpha_c_rr">EconParam!$D$17</definedName>
    <definedName name="alpha_c_st">EconParam!$D$16</definedName>
    <definedName name="alpha_p_eq">EconParam!$D$21</definedName>
    <definedName name="alpha_p_ip">EconParam!$D$25</definedName>
    <definedName name="alpha_p_rd">EconParam!$D$24</definedName>
    <definedName name="alpha_p_rr">EconParam!$D$23</definedName>
    <definedName name="alpha_p_st">EconParam!$D$22</definedName>
    <definedName name="bonus_eq_0">PolicyParam!$E$15</definedName>
    <definedName name="bonus_eq_1">PolicyParam!$F$15</definedName>
    <definedName name="bonus_eq_B">PolicyParam!$D$15</definedName>
    <definedName name="bonus_ip_0">PolicyParam!$E$19</definedName>
    <definedName name="bonus_ip_1">PolicyParam!$F$19</definedName>
    <definedName name="bonus_ip_B">PolicyParam!$D$19</definedName>
    <definedName name="bonus_rd_0">PolicyParam!$E$18</definedName>
    <definedName name="bonus_rd_1">PolicyParam!$F$18</definedName>
    <definedName name="bonus_rd_B">PolicyParam!$D$18</definedName>
    <definedName name="bonus_rr_0">PolicyParam!$E$17</definedName>
    <definedName name="bonus_rr_1">PolicyParam!$F$17</definedName>
    <definedName name="bonus_rr_B">PolicyParam!$D$17</definedName>
    <definedName name="bonus_st_0">PolicyParam!$E$16</definedName>
    <definedName name="bonus_st_1">PolicyParam!$F$16</definedName>
    <definedName name="bonus_st_B">PolicyParam!$D$16</definedName>
    <definedName name="ccr_eq_0">PolicyParam!$E$9</definedName>
    <definedName name="ccr_eq_1">PolicyParam!$F$9</definedName>
    <definedName name="ccr_eq_B">PolicyParam!$D$9</definedName>
    <definedName name="ccr_i_baseline">CCR!$J$2</definedName>
    <definedName name="ccr_i_reform">CCR!$L$2</definedName>
    <definedName name="ccr_ip_0">PolicyParam!$E$13</definedName>
    <definedName name="ccr_ip_1">PolicyParam!$F$13</definedName>
    <definedName name="ccr_ip_B">PolicyParam!$D$13</definedName>
    <definedName name="ccr_rd_0">PolicyParam!$E$12</definedName>
    <definedName name="ccr_rd_1">PolicyParam!$F$12</definedName>
    <definedName name="ccr_rd_B">PolicyParam!$D$12</definedName>
    <definedName name="ccr_rr_0">PolicyParam!$E$11</definedName>
    <definedName name="ccr_rr_1">PolicyParam!$F$11</definedName>
    <definedName name="ccr_rr_B">PolicyParam!$D$11</definedName>
    <definedName name="ccr_st_0">PolicyParam!$E$10</definedName>
    <definedName name="ccr_st_1">PolicyParam!$F$10</definedName>
    <definedName name="ccr_st_B">PolicyParam!$D$10</definedName>
    <definedName name="debt_lim_0">PolicyParam!$E$6</definedName>
    <definedName name="debt_lim_1">PolicyParam!$F$6</definedName>
    <definedName name="debt_lim_B">PolicyParam!$D$6</definedName>
    <definedName name="delta_eq">EconParam!$D$8</definedName>
    <definedName name="delta_ip">EconParam!$D$12</definedName>
    <definedName name="delta_rd">EconParam!$D$11</definedName>
    <definedName name="delta_rr">EconParam!$D$10</definedName>
    <definedName name="delta_st">EconParam!$D$9</definedName>
    <definedName name="dY">UC_K_Y!$F$28</definedName>
    <definedName name="dY_B">UC_K_Y!$X$28</definedName>
    <definedName name="dY_c">UC_K_Y!$H$10</definedName>
    <definedName name="dY_c_co">UC_K_Y!$Q$10</definedName>
    <definedName name="dY_co">UC_K_Y!$O$28</definedName>
    <definedName name="dY_p">UC_K_Y!$H$19</definedName>
    <definedName name="dY_p_co">UC_K_Y!$Q$19</definedName>
    <definedName name="econ_param">Output!$B$7</definedName>
    <definedName name="econ_param_scenarios">EconParam!$F$2:$I$29</definedName>
    <definedName name="i_bond">EconParam!$D$5</definedName>
    <definedName name="int_crowdout">Fiscal!$E$32</definedName>
    <definedName name="lambda_eq_0">CCR!$P$14</definedName>
    <definedName name="lambda_eq_1">CCR!$P$15</definedName>
    <definedName name="lambda_eq_1co">CCR!$P$16</definedName>
    <definedName name="lambda_eq_B">CCR!$P$13</definedName>
    <definedName name="lambda_ip_0">CCR!$T$14</definedName>
    <definedName name="lambda_ip_1">CCR!$T$15</definedName>
    <definedName name="lambda_ip_1co">CCR!$T$16</definedName>
    <definedName name="lambda_ip_B">CCR!$T$13</definedName>
    <definedName name="lambda_rd_0">CCR!$S$14</definedName>
    <definedName name="lambda_rd_1">CCR!$S$15</definedName>
    <definedName name="lambda_rd_1co">CCR!$S$16</definedName>
    <definedName name="lambda_rd_B">CCR!$S$13</definedName>
    <definedName name="lambda_rr_0">CCR!$R$14</definedName>
    <definedName name="lambda_rr_1">CCR!$R$15</definedName>
    <definedName name="lambda_rr_1co">CCR!$R$16</definedName>
    <definedName name="lambda_rr_B">CCR!$R$13</definedName>
    <definedName name="lambda_st_0">CCR!$Q$14</definedName>
    <definedName name="lambda_st_1">CCR!$Q$15</definedName>
    <definedName name="lambda_st_1co">CCR!$Q$16</definedName>
    <definedName name="lambda_st_B">CCR!$Q$13</definedName>
    <definedName name="pct_debt">EconParam!$D$6</definedName>
    <definedName name="pi">EconParam!$D$4</definedName>
    <definedName name="policy_param_0">Output!$B$5</definedName>
    <definedName name="policy_param_1">Output!$B$6</definedName>
    <definedName name="policy_param_scenarios">PolicyParam!$H$2:$M$31</definedName>
    <definedName name="re_cred_0">PolicyParam!$E$4</definedName>
    <definedName name="re_cred_1">PolicyParam!$F$4</definedName>
    <definedName name="re_cred_B">PolicyParam!$D$4</definedName>
    <definedName name="rho">EconParam!$D$3</definedName>
    <definedName name="scenario">EconParam!$D$2</definedName>
    <definedName name="sect_shift_0">PolicyParam!$E$7</definedName>
    <definedName name="sect_shift_1">PolicyParam!$F$7</definedName>
    <definedName name="sect_shift_B">PolicyParam!$D$7</definedName>
    <definedName name="tau_c_0">PolicyParam!$E$3</definedName>
    <definedName name="tau_c_1">PolicyParam!$F$3</definedName>
    <definedName name="tau_c_B">PolicyParam!$D$3</definedName>
    <definedName name="tau_p_0">PolicyParam!$E$5</definedName>
    <definedName name="tau_p_1">PolicyParam!$F$5</definedName>
    <definedName name="tau_p_B">PolicyParam!$D$5</definedName>
    <definedName name="va_c">EconParam!$D$27</definedName>
    <definedName name="va_g">EconParam!$D$29</definedName>
    <definedName name="va_p">EconParam!$D$28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N4" i="6"/>
  <c r="M4" i="6"/>
  <c r="O4" i="6"/>
  <c r="D23" i="3" l="1"/>
  <c r="D24" i="3"/>
  <c r="D25" i="3"/>
  <c r="D26" i="3"/>
  <c r="D27" i="3"/>
  <c r="D28" i="3"/>
  <c r="D29" i="3"/>
  <c r="D30" i="3"/>
  <c r="D31" i="3"/>
  <c r="D22" i="3"/>
  <c r="D19" i="3"/>
  <c r="D18" i="3"/>
  <c r="D17" i="3"/>
  <c r="D16" i="3"/>
  <c r="D15" i="3"/>
  <c r="D13" i="3"/>
  <c r="D12" i="3"/>
  <c r="D11" i="3"/>
  <c r="D10" i="3"/>
  <c r="D9" i="3"/>
  <c r="D4" i="3"/>
  <c r="D5" i="3"/>
  <c r="D6" i="3"/>
  <c r="D3" i="3"/>
  <c r="S5" i="4"/>
  <c r="I12" i="1" l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G8" i="1"/>
  <c r="H8" i="1"/>
  <c r="I8" i="1"/>
  <c r="F8" i="1"/>
  <c r="S13" i="4"/>
  <c r="K12" i="1" l="1"/>
  <c r="K11" i="1"/>
  <c r="K10" i="1"/>
  <c r="K9" i="1"/>
  <c r="K8" i="1"/>
  <c r="K22" i="1"/>
  <c r="K23" i="1"/>
  <c r="K24" i="1"/>
  <c r="K25" i="1"/>
  <c r="K21" i="1"/>
  <c r="K16" i="1"/>
  <c r="K17" i="1"/>
  <c r="K18" i="1"/>
  <c r="K19" i="1"/>
  <c r="K15" i="1"/>
  <c r="F2" i="10"/>
  <c r="L2" i="10"/>
  <c r="N2" i="10"/>
  <c r="O2" i="10"/>
  <c r="P2" i="10"/>
  <c r="Q2" i="10"/>
  <c r="S2" i="10"/>
  <c r="A3" i="10"/>
  <c r="F3" i="10"/>
  <c r="R2" i="10" s="1"/>
  <c r="L3" i="10"/>
  <c r="N3" i="10"/>
  <c r="O3" i="10"/>
  <c r="P3" i="10"/>
  <c r="Q3" i="10"/>
  <c r="R3" i="10"/>
  <c r="S3" i="10"/>
  <c r="A4" i="10"/>
  <c r="F4" i="10"/>
  <c r="L4" i="10"/>
  <c r="N4" i="10"/>
  <c r="O4" i="10"/>
  <c r="P4" i="10"/>
  <c r="Q4" i="10"/>
  <c r="S4" i="10"/>
  <c r="A5" i="10"/>
  <c r="F5" i="10"/>
  <c r="R4" i="10" s="1"/>
  <c r="L5" i="10"/>
  <c r="N5" i="10"/>
  <c r="O5" i="10"/>
  <c r="P5" i="10"/>
  <c r="Q5" i="10"/>
  <c r="S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F6" i="10"/>
  <c r="R5" i="10" s="1"/>
  <c r="L6" i="10"/>
  <c r="N6" i="10"/>
  <c r="O6" i="10"/>
  <c r="P6" i="10"/>
  <c r="Q6" i="10"/>
  <c r="S6" i="10"/>
  <c r="F7" i="10"/>
  <c r="R6" i="10" s="1"/>
  <c r="L7" i="10"/>
  <c r="N7" i="10"/>
  <c r="O7" i="10"/>
  <c r="P7" i="10"/>
  <c r="Q7" i="10"/>
  <c r="R7" i="10"/>
  <c r="S7" i="10"/>
  <c r="F8" i="10"/>
  <c r="L8" i="10"/>
  <c r="N8" i="10"/>
  <c r="O8" i="10"/>
  <c r="P8" i="10"/>
  <c r="Q8" i="10"/>
  <c r="S8" i="10"/>
  <c r="F9" i="10"/>
  <c r="R8" i="10" s="1"/>
  <c r="L9" i="10"/>
  <c r="N9" i="10"/>
  <c r="O9" i="10"/>
  <c r="P9" i="10"/>
  <c r="Q9" i="10"/>
  <c r="S9" i="10"/>
  <c r="F10" i="10"/>
  <c r="R9" i="10" s="1"/>
  <c r="L10" i="10"/>
  <c r="N10" i="10"/>
  <c r="O10" i="10"/>
  <c r="P10" i="10"/>
  <c r="Q10" i="10"/>
  <c r="S10" i="10"/>
  <c r="F11" i="10"/>
  <c r="R10" i="10" s="1"/>
  <c r="L11" i="10"/>
  <c r="N11" i="10"/>
  <c r="O11" i="10"/>
  <c r="P11" i="10"/>
  <c r="Q11" i="10"/>
  <c r="R11" i="10"/>
  <c r="S11" i="10"/>
  <c r="F12" i="10"/>
  <c r="L12" i="10"/>
  <c r="N12" i="10"/>
  <c r="O12" i="10"/>
  <c r="P12" i="10"/>
  <c r="Q12" i="10"/>
  <c r="S12" i="10"/>
  <c r="F13" i="10"/>
  <c r="R12" i="10" s="1"/>
  <c r="L13" i="10"/>
  <c r="N13" i="10"/>
  <c r="O13" i="10"/>
  <c r="P13" i="10"/>
  <c r="Q13" i="10"/>
  <c r="S13" i="10"/>
  <c r="F14" i="10"/>
  <c r="R13" i="10" s="1"/>
  <c r="L14" i="10"/>
  <c r="N14" i="10"/>
  <c r="O14" i="10"/>
  <c r="P14" i="10"/>
  <c r="Q14" i="10"/>
  <c r="S14" i="10"/>
  <c r="F15" i="10"/>
  <c r="R14" i="10" s="1"/>
  <c r="L15" i="10"/>
  <c r="N15" i="10"/>
  <c r="O15" i="10"/>
  <c r="P15" i="10"/>
  <c r="Q15" i="10"/>
  <c r="R15" i="10"/>
  <c r="S15" i="10"/>
  <c r="F16" i="10"/>
  <c r="L16" i="10"/>
  <c r="N16" i="10"/>
  <c r="O16" i="10"/>
  <c r="P16" i="10"/>
  <c r="Q16" i="10"/>
  <c r="S16" i="10"/>
  <c r="F17" i="10"/>
  <c r="R16" i="10" s="1"/>
  <c r="L17" i="10"/>
  <c r="N17" i="10"/>
  <c r="O17" i="10"/>
  <c r="P17" i="10"/>
  <c r="Q17" i="10"/>
  <c r="S17" i="10"/>
  <c r="F18" i="10"/>
  <c r="R17" i="10" s="1"/>
  <c r="L18" i="10"/>
  <c r="N18" i="10"/>
  <c r="O18" i="10"/>
  <c r="P18" i="10"/>
  <c r="Q18" i="10"/>
  <c r="S18" i="10"/>
  <c r="F19" i="10"/>
  <c r="R18" i="10" s="1"/>
  <c r="L19" i="10"/>
  <c r="N19" i="10"/>
  <c r="O19" i="10"/>
  <c r="P19" i="10"/>
  <c r="Q19" i="10"/>
  <c r="R19" i="10"/>
  <c r="S19" i="10"/>
  <c r="F20" i="10"/>
  <c r="L20" i="10"/>
  <c r="N20" i="10"/>
  <c r="O20" i="10"/>
  <c r="P20" i="10"/>
  <c r="Q20" i="10"/>
  <c r="S20" i="10"/>
  <c r="F21" i="10"/>
  <c r="R20" i="10" s="1"/>
  <c r="L21" i="10"/>
  <c r="N21" i="10"/>
  <c r="O21" i="10"/>
  <c r="P21" i="10"/>
  <c r="Q21" i="10"/>
  <c r="S21" i="10"/>
  <c r="F22" i="10"/>
  <c r="R21" i="10" s="1"/>
  <c r="L22" i="10"/>
  <c r="N22" i="10"/>
  <c r="O22" i="10"/>
  <c r="P22" i="10"/>
  <c r="Q22" i="10"/>
  <c r="S22" i="10"/>
  <c r="F23" i="10"/>
  <c r="R22" i="10" s="1"/>
  <c r="L23" i="10"/>
  <c r="N23" i="10"/>
  <c r="O23" i="10"/>
  <c r="P23" i="10"/>
  <c r="Q23" i="10"/>
  <c r="R23" i="10"/>
  <c r="S23" i="10"/>
  <c r="F24" i="10"/>
  <c r="L24" i="10"/>
  <c r="N24" i="10"/>
  <c r="O24" i="10"/>
  <c r="P24" i="10"/>
  <c r="Q24" i="10"/>
  <c r="S24" i="10"/>
  <c r="F25" i="10"/>
  <c r="R24" i="10" s="1"/>
  <c r="L25" i="10"/>
  <c r="N25" i="10"/>
  <c r="O25" i="10"/>
  <c r="P25" i="10"/>
  <c r="Q25" i="10"/>
  <c r="S25" i="10"/>
  <c r="F26" i="10"/>
  <c r="R25" i="10" s="1"/>
  <c r="L26" i="10"/>
  <c r="N26" i="10"/>
  <c r="O26" i="10"/>
  <c r="P26" i="10"/>
  <c r="Q26" i="10"/>
  <c r="S26" i="10"/>
  <c r="F27" i="10"/>
  <c r="R26" i="10" s="1"/>
  <c r="L27" i="10"/>
  <c r="N27" i="10"/>
  <c r="O27" i="10"/>
  <c r="P27" i="10"/>
  <c r="Q27" i="10"/>
  <c r="R27" i="10"/>
  <c r="S27" i="10"/>
  <c r="F28" i="10"/>
  <c r="L28" i="10"/>
  <c r="N28" i="10"/>
  <c r="O28" i="10"/>
  <c r="P28" i="10"/>
  <c r="Q28" i="10"/>
  <c r="S28" i="10"/>
  <c r="F29" i="10"/>
  <c r="R28" i="10" s="1"/>
  <c r="L29" i="10"/>
  <c r="N29" i="10"/>
  <c r="O29" i="10"/>
  <c r="P29" i="10"/>
  <c r="Q29" i="10"/>
  <c r="S29" i="10"/>
  <c r="F30" i="10"/>
  <c r="R29" i="10" s="1"/>
  <c r="L30" i="10"/>
  <c r="N30" i="10"/>
  <c r="O30" i="10"/>
  <c r="P30" i="10"/>
  <c r="Q30" i="10"/>
  <c r="S30" i="10"/>
  <c r="F31" i="10"/>
  <c r="R30" i="10" s="1"/>
  <c r="L31" i="10"/>
  <c r="C9" i="9"/>
  <c r="D9" i="9"/>
  <c r="E9" i="9" s="1"/>
  <c r="C17" i="9" s="1"/>
  <c r="C26" i="9" s="1"/>
  <c r="C10" i="9"/>
  <c r="D10" i="9"/>
  <c r="E10" i="9"/>
  <c r="D18" i="9" s="1"/>
  <c r="D27" i="9" s="1"/>
  <c r="C11" i="9"/>
  <c r="D11" i="9"/>
  <c r="C12" i="9"/>
  <c r="E12" i="9" s="1"/>
  <c r="D12" i="9"/>
  <c r="C13" i="9"/>
  <c r="D13" i="9"/>
  <c r="E13" i="9" s="1"/>
  <c r="C21" i="9" s="1"/>
  <c r="C30" i="9" s="1"/>
  <c r="E31" i="9"/>
  <c r="D2" i="1"/>
  <c r="F2" i="3"/>
  <c r="D20" i="9" l="1"/>
  <c r="D29" i="9" s="1"/>
  <c r="C20" i="9"/>
  <c r="C29" i="9" s="1"/>
  <c r="D21" i="9"/>
  <c r="D30" i="9" s="1"/>
  <c r="D17" i="9"/>
  <c r="D26" i="9" s="1"/>
  <c r="E11" i="9"/>
  <c r="D19" i="9" s="1"/>
  <c r="D28" i="9" s="1"/>
  <c r="C18" i="9"/>
  <c r="C27" i="9" s="1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E23" i="3"/>
  <c r="H6" i="6" s="1"/>
  <c r="I6" i="6" s="1"/>
  <c r="F23" i="3"/>
  <c r="E24" i="3"/>
  <c r="H7" i="6" s="1"/>
  <c r="I7" i="6" s="1"/>
  <c r="F24" i="3"/>
  <c r="E25" i="3"/>
  <c r="H8" i="6" s="1"/>
  <c r="I8" i="6" s="1"/>
  <c r="F25" i="3"/>
  <c r="E26" i="3"/>
  <c r="H9" i="6" s="1"/>
  <c r="I9" i="6" s="1"/>
  <c r="F26" i="3"/>
  <c r="E27" i="3"/>
  <c r="H10" i="6" s="1"/>
  <c r="I10" i="6" s="1"/>
  <c r="F27" i="3"/>
  <c r="E28" i="3"/>
  <c r="H11" i="6" s="1"/>
  <c r="I11" i="6" s="1"/>
  <c r="F28" i="3"/>
  <c r="E29" i="3"/>
  <c r="H12" i="6" s="1"/>
  <c r="I12" i="6" s="1"/>
  <c r="F29" i="3"/>
  <c r="E30" i="3"/>
  <c r="H13" i="6" s="1"/>
  <c r="I13" i="6" s="1"/>
  <c r="F30" i="3"/>
  <c r="E31" i="3"/>
  <c r="H14" i="6" s="1"/>
  <c r="I14" i="6" s="1"/>
  <c r="F31" i="3"/>
  <c r="F22" i="3"/>
  <c r="E22" i="3"/>
  <c r="H5" i="6" s="1"/>
  <c r="I5" i="6" s="1"/>
  <c r="Q11" i="6" l="1"/>
  <c r="Q13" i="6"/>
  <c r="C31" i="9"/>
  <c r="C36" i="9" s="1"/>
  <c r="Q7" i="6"/>
  <c r="D31" i="9"/>
  <c r="D36" i="9" s="1"/>
  <c r="C19" i="9"/>
  <c r="C28" i="9" s="1"/>
  <c r="Q5" i="6"/>
  <c r="Q14" i="6"/>
  <c r="Q10" i="6"/>
  <c r="Q6" i="6"/>
  <c r="Q9" i="6"/>
  <c r="Q12" i="6"/>
  <c r="Q8" i="6"/>
  <c r="C37" i="9" l="1"/>
  <c r="D38" i="9"/>
  <c r="D35" i="9"/>
  <c r="C35" i="9"/>
  <c r="C39" i="9"/>
  <c r="C38" i="9"/>
  <c r="D37" i="9"/>
  <c r="D39" i="9"/>
  <c r="E24" i="6"/>
  <c r="E35" i="8" s="1"/>
  <c r="C1" i="7" l="1"/>
  <c r="D1" i="7" s="1"/>
  <c r="E1" i="7" s="1"/>
  <c r="F1" i="7" s="1"/>
  <c r="G1" i="7" s="1"/>
  <c r="H1" i="7" s="1"/>
  <c r="I1" i="7" s="1"/>
  <c r="J1" i="7" s="1"/>
  <c r="K1" i="7" s="1"/>
  <c r="L1" i="7" s="1"/>
  <c r="A2" i="7" l="1"/>
  <c r="A3" i="7" l="1"/>
  <c r="A4" i="7" l="1"/>
  <c r="A5" i="7" l="1"/>
  <c r="A6" i="7" l="1"/>
  <c r="A7" i="7" l="1"/>
  <c r="A8" i="7" l="1"/>
  <c r="A9" i="7" l="1"/>
  <c r="A10" i="7" l="1"/>
  <c r="A11" i="7" l="1"/>
  <c r="A12" i="7" l="1"/>
  <c r="H53" i="4" l="1"/>
  <c r="G53" i="4"/>
  <c r="F53" i="4"/>
  <c r="E53" i="4"/>
  <c r="D53" i="4"/>
  <c r="C53" i="4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F19" i="3"/>
  <c r="F18" i="3"/>
  <c r="F17" i="3"/>
  <c r="F16" i="3"/>
  <c r="F15" i="3"/>
  <c r="F13" i="3"/>
  <c r="F12" i="3"/>
  <c r="F11" i="3"/>
  <c r="F10" i="3"/>
  <c r="F9" i="3"/>
  <c r="F4" i="3"/>
  <c r="F5" i="3"/>
  <c r="F6" i="3"/>
  <c r="F3" i="3"/>
  <c r="E19" i="3"/>
  <c r="E18" i="3"/>
  <c r="E17" i="3"/>
  <c r="E16" i="3"/>
  <c r="E15" i="3"/>
  <c r="E13" i="3"/>
  <c r="E12" i="3"/>
  <c r="E11" i="3"/>
  <c r="E10" i="3"/>
  <c r="E9" i="3"/>
  <c r="E4" i="3"/>
  <c r="E5" i="3"/>
  <c r="E6" i="3"/>
  <c r="E3" i="3"/>
  <c r="I7" i="3"/>
  <c r="F7" i="3" s="1"/>
  <c r="J7" i="3"/>
  <c r="K7" i="3"/>
  <c r="L7" i="3"/>
  <c r="M7" i="3"/>
  <c r="H7" i="3"/>
  <c r="S6" i="4"/>
  <c r="E7" i="3" l="1"/>
  <c r="C24" i="5" s="1"/>
  <c r="D24" i="5" s="1"/>
  <c r="D7" i="3"/>
  <c r="H15" i="1"/>
  <c r="I15" i="1"/>
  <c r="H16" i="1"/>
  <c r="I16" i="1"/>
  <c r="H17" i="1"/>
  <c r="I17" i="1"/>
  <c r="G18" i="1"/>
  <c r="H18" i="1"/>
  <c r="I18" i="1"/>
  <c r="H19" i="1"/>
  <c r="I19" i="1"/>
  <c r="H21" i="1"/>
  <c r="I21" i="1"/>
  <c r="H22" i="1"/>
  <c r="I22" i="1"/>
  <c r="H23" i="1"/>
  <c r="I23" i="1"/>
  <c r="H24" i="1"/>
  <c r="I24" i="1"/>
  <c r="H25" i="1"/>
  <c r="I25" i="1"/>
  <c r="F25" i="1"/>
  <c r="F24" i="1"/>
  <c r="F23" i="1"/>
  <c r="F22" i="1"/>
  <c r="D22" i="1" s="1"/>
  <c r="F21" i="1"/>
  <c r="F16" i="1"/>
  <c r="F17" i="1"/>
  <c r="F18" i="1"/>
  <c r="D18" i="1" s="1"/>
  <c r="F19" i="1"/>
  <c r="F15" i="1"/>
  <c r="D29" i="1"/>
  <c r="W25" i="5" s="1"/>
  <c r="W26" i="5" s="1"/>
  <c r="W28" i="5" s="1"/>
  <c r="D8" i="1"/>
  <c r="D9" i="1"/>
  <c r="D10" i="1"/>
  <c r="D11" i="1"/>
  <c r="D12" i="1"/>
  <c r="D13" i="1"/>
  <c r="D15" i="1"/>
  <c r="D16" i="1"/>
  <c r="D17" i="1"/>
  <c r="D19" i="1"/>
  <c r="D21" i="1"/>
  <c r="D23" i="1"/>
  <c r="D24" i="1"/>
  <c r="D25" i="1"/>
  <c r="D4" i="1"/>
  <c r="D5" i="1"/>
  <c r="D6" i="1"/>
  <c r="D27" i="1"/>
  <c r="D28" i="1"/>
  <c r="D3" i="1"/>
  <c r="G13" i="1"/>
  <c r="G17" i="1" s="1"/>
  <c r="N14" i="5"/>
  <c r="X5" i="5"/>
  <c r="M5" i="5"/>
  <c r="O14" i="5"/>
  <c r="P5" i="5"/>
  <c r="X6" i="5"/>
  <c r="W5" i="5"/>
  <c r="X15" i="5"/>
  <c r="X14" i="5"/>
  <c r="E14" i="5"/>
  <c r="V14" i="5"/>
  <c r="Y5" i="5"/>
  <c r="F14" i="5"/>
  <c r="W14" i="5"/>
  <c r="L14" i="5"/>
  <c r="S14" i="4"/>
  <c r="D14" i="5"/>
  <c r="E5" i="5"/>
  <c r="U14" i="5"/>
  <c r="N5" i="5"/>
  <c r="O15" i="5"/>
  <c r="G5" i="5"/>
  <c r="Y14" i="5"/>
  <c r="V5" i="5"/>
  <c r="C5" i="5"/>
  <c r="D5" i="5"/>
  <c r="C14" i="5"/>
  <c r="L5" i="5"/>
  <c r="G14" i="5"/>
  <c r="X7" i="5"/>
  <c r="O5" i="5"/>
  <c r="M14" i="5"/>
  <c r="F5" i="5"/>
  <c r="U5" i="5"/>
  <c r="P14" i="5"/>
  <c r="O6" i="5"/>
  <c r="F6" i="5"/>
  <c r="F15" i="5"/>
  <c r="L24" i="5" l="1"/>
  <c r="M24" i="5" s="1"/>
  <c r="U24" i="5"/>
  <c r="V24" i="5" s="1"/>
  <c r="G17" i="8"/>
  <c r="E17" i="8"/>
  <c r="V25" i="5"/>
  <c r="U25" i="5"/>
  <c r="G23" i="1"/>
  <c r="G24" i="1"/>
  <c r="G19" i="1"/>
  <c r="G15" i="1"/>
  <c r="G25" i="1"/>
  <c r="G21" i="1"/>
  <c r="G16" i="1"/>
  <c r="G22" i="1"/>
  <c r="J2" i="4"/>
  <c r="J14" i="4" s="1"/>
  <c r="G11" i="8"/>
  <c r="E11" i="8"/>
  <c r="X16" i="5"/>
  <c r="J20" i="4" l="1"/>
  <c r="J25" i="4"/>
  <c r="X25" i="5"/>
  <c r="J50" i="4"/>
  <c r="J32" i="4"/>
  <c r="J13" i="4"/>
  <c r="J35" i="4"/>
  <c r="J30" i="4"/>
  <c r="J24" i="4"/>
  <c r="J40" i="4"/>
  <c r="J41" i="4"/>
  <c r="J34" i="4"/>
  <c r="J47" i="4"/>
  <c r="J16" i="4"/>
  <c r="J31" i="4"/>
  <c r="J36" i="4"/>
  <c r="J28" i="4"/>
  <c r="K2" i="4"/>
  <c r="K21" i="4" s="1"/>
  <c r="J46" i="4"/>
  <c r="J45" i="4"/>
  <c r="J19" i="4"/>
  <c r="K46" i="4"/>
  <c r="J26" i="4"/>
  <c r="J21" i="4"/>
  <c r="J43" i="4"/>
  <c r="J18" i="4"/>
  <c r="J42" i="4"/>
  <c r="J15" i="4"/>
  <c r="J49" i="4"/>
  <c r="J39" i="4"/>
  <c r="J44" i="4"/>
  <c r="J29" i="4"/>
  <c r="J38" i="4"/>
  <c r="J52" i="4"/>
  <c r="J27" i="4"/>
  <c r="J33" i="4"/>
  <c r="J37" i="4"/>
  <c r="J22" i="4"/>
  <c r="J48" i="4"/>
  <c r="J23" i="4"/>
  <c r="J51" i="4"/>
  <c r="J17" i="4"/>
  <c r="K16" i="4"/>
  <c r="K29" i="4" l="1"/>
  <c r="K50" i="4"/>
  <c r="C5" i="4"/>
  <c r="G5" i="4"/>
  <c r="D5" i="4"/>
  <c r="H5" i="4"/>
  <c r="E5" i="4"/>
  <c r="F5" i="4"/>
  <c r="G6" i="4"/>
  <c r="K15" i="4"/>
  <c r="K39" i="4"/>
  <c r="K44" i="4"/>
  <c r="K22" i="4"/>
  <c r="K28" i="4"/>
  <c r="K26" i="4"/>
  <c r="K43" i="4"/>
  <c r="K19" i="4"/>
  <c r="K45" i="4"/>
  <c r="K32" i="4"/>
  <c r="K17" i="4"/>
  <c r="K38" i="4"/>
  <c r="K47" i="4"/>
  <c r="K13" i="4"/>
  <c r="K20" i="4"/>
  <c r="K31" i="4"/>
  <c r="K14" i="4"/>
  <c r="K35" i="4"/>
  <c r="K18" i="4"/>
  <c r="K48" i="4"/>
  <c r="K33" i="4"/>
  <c r="K41" i="4"/>
  <c r="K36" i="4"/>
  <c r="K42" i="4"/>
  <c r="K40" i="4"/>
  <c r="K52" i="4"/>
  <c r="K51" i="4"/>
  <c r="K34" i="4"/>
  <c r="K23" i="4"/>
  <c r="K49" i="4"/>
  <c r="K24" i="4"/>
  <c r="K30" i="4"/>
  <c r="K27" i="4"/>
  <c r="K25" i="4"/>
  <c r="K37" i="4"/>
  <c r="D6" i="4"/>
  <c r="C6" i="4"/>
  <c r="H6" i="4"/>
  <c r="E6" i="4"/>
  <c r="F6" i="4"/>
  <c r="Q5" i="4"/>
  <c r="Q6" i="4"/>
  <c r="R6" i="4"/>
  <c r="R5" i="4"/>
  <c r="T5" i="4"/>
  <c r="P5" i="4"/>
  <c r="T6" i="4"/>
  <c r="P6" i="4"/>
  <c r="F7" i="4" l="1"/>
  <c r="E7" i="4"/>
  <c r="C7" i="4"/>
  <c r="D7" i="4"/>
  <c r="H7" i="4"/>
  <c r="G7" i="4"/>
  <c r="T7" i="4"/>
  <c r="R14" i="4"/>
  <c r="T14" i="4"/>
  <c r="P14" i="4"/>
  <c r="C15" i="5" s="1"/>
  <c r="Q7" i="4"/>
  <c r="L15" i="5"/>
  <c r="R7" i="4"/>
  <c r="P13" i="4"/>
  <c r="U15" i="5" s="1"/>
  <c r="G15" i="5"/>
  <c r="U6" i="5"/>
  <c r="P15" i="5"/>
  <c r="Q14" i="4"/>
  <c r="P6" i="5"/>
  <c r="L6" i="5"/>
  <c r="E6" i="5"/>
  <c r="Q13" i="4"/>
  <c r="C6" i="5"/>
  <c r="S7" i="4"/>
  <c r="P7" i="4"/>
  <c r="R13" i="4"/>
  <c r="T13" i="4"/>
  <c r="V7" i="5"/>
  <c r="E15" i="5"/>
  <c r="N15" i="5"/>
  <c r="N6" i="5"/>
  <c r="G6" i="5"/>
  <c r="D15" i="5"/>
  <c r="M15" i="5"/>
  <c r="D6" i="5"/>
  <c r="W6" i="5"/>
  <c r="Y6" i="5"/>
  <c r="G15" i="8" l="1"/>
  <c r="G16" i="8"/>
  <c r="G18" i="8"/>
  <c r="G14" i="8"/>
  <c r="E15" i="8"/>
  <c r="E16" i="8"/>
  <c r="E18" i="8"/>
  <c r="E14" i="8"/>
  <c r="E10" i="8"/>
  <c r="G10" i="8"/>
  <c r="G9" i="8"/>
  <c r="E9" i="8"/>
  <c r="E8" i="8"/>
  <c r="G8" i="8"/>
  <c r="G12" i="8"/>
  <c r="E12" i="8"/>
  <c r="Y15" i="5"/>
  <c r="M6" i="5"/>
  <c r="U16" i="5"/>
  <c r="V15" i="5"/>
  <c r="V16" i="5"/>
  <c r="Q15" i="4"/>
  <c r="T15" i="4"/>
  <c r="W15" i="5"/>
  <c r="S15" i="4"/>
  <c r="F16" i="5" s="1"/>
  <c r="W7" i="5"/>
  <c r="U7" i="5"/>
  <c r="W16" i="5"/>
  <c r="V6" i="5"/>
  <c r="R15" i="4"/>
  <c r="P15" i="4"/>
  <c r="Y7" i="5"/>
  <c r="Y16" i="5"/>
  <c r="V17" i="5" l="1"/>
  <c r="V8" i="5"/>
  <c r="W17" i="5"/>
  <c r="W8" i="5"/>
  <c r="U17" i="5"/>
  <c r="U8" i="5"/>
  <c r="X17" i="5"/>
  <c r="X8" i="5"/>
  <c r="Y17" i="5"/>
  <c r="Y8" i="5"/>
  <c r="F17" i="5"/>
  <c r="H17" i="8" s="1"/>
  <c r="H9" i="8"/>
  <c r="F9" i="8"/>
  <c r="H10" i="8"/>
  <c r="F10" i="8"/>
  <c r="H8" i="8"/>
  <c r="F8" i="8"/>
  <c r="F11" i="8"/>
  <c r="H11" i="8"/>
  <c r="H12" i="8"/>
  <c r="F12" i="8"/>
  <c r="C7" i="5"/>
  <c r="E16" i="5"/>
  <c r="C16" i="5"/>
  <c r="G16" i="5"/>
  <c r="D16" i="5"/>
  <c r="F7" i="5"/>
  <c r="E7" i="5"/>
  <c r="D7" i="5"/>
  <c r="G7" i="5"/>
  <c r="C8" i="5" l="1"/>
  <c r="D8" i="5"/>
  <c r="F15" i="8" s="1"/>
  <c r="F8" i="5"/>
  <c r="F17" i="8" s="1"/>
  <c r="E17" i="5"/>
  <c r="H16" i="8" s="1"/>
  <c r="D17" i="5"/>
  <c r="H15" i="8" s="1"/>
  <c r="G17" i="5"/>
  <c r="H18" i="8" s="1"/>
  <c r="C17" i="5"/>
  <c r="Z8" i="5"/>
  <c r="Z17" i="5"/>
  <c r="F14" i="8"/>
  <c r="G8" i="5"/>
  <c r="F18" i="8" s="1"/>
  <c r="E8" i="5"/>
  <c r="F16" i="8" s="1"/>
  <c r="V18" i="5"/>
  <c r="Y18" i="5"/>
  <c r="W18" i="5"/>
  <c r="X18" i="5"/>
  <c r="U18" i="5"/>
  <c r="V9" i="5"/>
  <c r="Y9" i="5"/>
  <c r="W9" i="5"/>
  <c r="X9" i="5"/>
  <c r="U9" i="5"/>
  <c r="F18" i="5" l="1"/>
  <c r="G18" i="5"/>
  <c r="C18" i="5"/>
  <c r="H14" i="8"/>
  <c r="E18" i="5"/>
  <c r="H17" i="5"/>
  <c r="H19" i="8" s="1"/>
  <c r="D18" i="5"/>
  <c r="Z18" i="5"/>
  <c r="Z9" i="5"/>
  <c r="H8" i="5"/>
  <c r="F19" i="8" s="1"/>
  <c r="C9" i="5"/>
  <c r="G9" i="5"/>
  <c r="F25" i="8" s="1"/>
  <c r="F9" i="5"/>
  <c r="F24" i="8" s="1"/>
  <c r="E9" i="5"/>
  <c r="F23" i="8" s="1"/>
  <c r="D9" i="5"/>
  <c r="F22" i="8" s="1"/>
  <c r="Z10" i="5"/>
  <c r="U23" i="5" s="1"/>
  <c r="U26" i="5" s="1"/>
  <c r="Z19" i="5"/>
  <c r="V23" i="5" s="1"/>
  <c r="V26" i="5" s="1"/>
  <c r="H19" i="5" l="1"/>
  <c r="D23" i="5" s="1"/>
  <c r="H18" i="5"/>
  <c r="H9" i="5"/>
  <c r="F26" i="8" s="1"/>
  <c r="F21" i="8"/>
  <c r="H10" i="5"/>
  <c r="F27" i="8" s="1"/>
  <c r="U28" i="5"/>
  <c r="X26" i="5"/>
  <c r="V28" i="5"/>
  <c r="H27" i="8" l="1"/>
  <c r="C23" i="5"/>
  <c r="X28" i="5"/>
  <c r="W27" i="5"/>
  <c r="V27" i="5"/>
  <c r="U27" i="5"/>
  <c r="O7" i="6" l="1"/>
  <c r="J7" i="6" s="1"/>
  <c r="O11" i="6"/>
  <c r="J11" i="6" s="1"/>
  <c r="O5" i="6"/>
  <c r="J5" i="6" s="1"/>
  <c r="O8" i="6"/>
  <c r="J8" i="6" s="1"/>
  <c r="O12" i="6"/>
  <c r="J12" i="6" s="1"/>
  <c r="O9" i="6"/>
  <c r="J9" i="6" s="1"/>
  <c r="O13" i="6"/>
  <c r="J13" i="6" s="1"/>
  <c r="O6" i="6"/>
  <c r="J6" i="6" s="1"/>
  <c r="O10" i="6"/>
  <c r="J10" i="6" s="1"/>
  <c r="O14" i="6"/>
  <c r="D25" i="5"/>
  <c r="D26" i="5" s="1"/>
  <c r="D29" i="5" s="1"/>
  <c r="D30" i="5" s="1"/>
  <c r="M25" i="5"/>
  <c r="E25" i="5"/>
  <c r="E26" i="5" s="1"/>
  <c r="E28" i="5" s="1"/>
  <c r="N25" i="5"/>
  <c r="N26" i="5" s="1"/>
  <c r="C25" i="5"/>
  <c r="L25" i="5"/>
  <c r="X27" i="5"/>
  <c r="J14" i="6" l="1"/>
  <c r="B20" i="6"/>
  <c r="D28" i="5"/>
  <c r="C26" i="5"/>
  <c r="E29" i="5"/>
  <c r="E30" i="5" s="1"/>
  <c r="F25" i="5"/>
  <c r="N29" i="5"/>
  <c r="N30" i="5" s="1"/>
  <c r="N28" i="5"/>
  <c r="O25" i="5"/>
  <c r="F26" i="5" l="1"/>
  <c r="D27" i="5" s="1"/>
  <c r="C29" i="5"/>
  <c r="C30" i="5" s="1"/>
  <c r="C28" i="5"/>
  <c r="E27" i="5" l="1"/>
  <c r="C27" i="5"/>
  <c r="N27" i="5"/>
  <c r="F29" i="5"/>
  <c r="F30" i="5" s="1"/>
  <c r="E33" i="8" s="1"/>
  <c r="F28" i="5"/>
  <c r="T9" i="6" s="1"/>
  <c r="T14" i="6" l="1"/>
  <c r="C20" i="6" s="1"/>
  <c r="E20" i="6" s="1"/>
  <c r="E31" i="8" s="1"/>
  <c r="F27" i="5"/>
  <c r="T10" i="6"/>
  <c r="T6" i="6"/>
  <c r="T11" i="6"/>
  <c r="E19" i="6"/>
  <c r="T7" i="6"/>
  <c r="E30" i="8"/>
  <c r="T8" i="6"/>
  <c r="T13" i="6"/>
  <c r="T12" i="6"/>
  <c r="B21" i="6" l="1"/>
  <c r="T4" i="6"/>
  <c r="C21" i="6"/>
  <c r="Y4" i="6"/>
  <c r="B30" i="6"/>
  <c r="T5" i="6"/>
  <c r="C30" i="6" s="1"/>
  <c r="M8" i="6"/>
  <c r="R8" i="6" s="1"/>
  <c r="E21" i="6" l="1"/>
  <c r="E32" i="8" s="1"/>
  <c r="U8" i="6"/>
  <c r="K5" i="6"/>
  <c r="L5" i="6" s="1"/>
  <c r="N5" i="6" s="1"/>
  <c r="M5" i="6"/>
  <c r="R5" i="6" s="1"/>
  <c r="U5" i="6" s="1"/>
  <c r="V5" i="6" l="1"/>
  <c r="W5" i="6" s="1"/>
  <c r="K8" i="6"/>
  <c r="L8" i="6" s="1"/>
  <c r="N8" i="6" s="1"/>
  <c r="K10" i="6"/>
  <c r="L10" i="6" s="1"/>
  <c r="N10" i="6" s="1"/>
  <c r="K7" i="6"/>
  <c r="L7" i="6" s="1"/>
  <c r="N7" i="6" s="1"/>
  <c r="M14" i="6"/>
  <c r="R14" i="6" s="1"/>
  <c r="U14" i="6" l="1"/>
  <c r="K6" i="6"/>
  <c r="L6" i="6" s="1"/>
  <c r="N6" i="6" s="1"/>
  <c r="K12" i="6"/>
  <c r="L12" i="6" s="1"/>
  <c r="N12" i="6" s="1"/>
  <c r="K11" i="6"/>
  <c r="L11" i="6" s="1"/>
  <c r="N11" i="6" s="1"/>
  <c r="K14" i="6"/>
  <c r="L14" i="6" s="1"/>
  <c r="N14" i="6" s="1"/>
  <c r="K9" i="6"/>
  <c r="L9" i="6" s="1"/>
  <c r="N9" i="6" s="1"/>
  <c r="K13" i="6"/>
  <c r="L13" i="6" s="1"/>
  <c r="N13" i="6" s="1"/>
  <c r="M6" i="6"/>
  <c r="R6" i="6" s="1"/>
  <c r="M9" i="6"/>
  <c r="R9" i="6" s="1"/>
  <c r="M12" i="6"/>
  <c r="R12" i="6" s="1"/>
  <c r="M13" i="6"/>
  <c r="R13" i="6" s="1"/>
  <c r="M7" i="6"/>
  <c r="R7" i="6" s="1"/>
  <c r="M11" i="6"/>
  <c r="R11" i="6" s="1"/>
  <c r="M10" i="6"/>
  <c r="R10" i="6" s="1"/>
  <c r="B33" i="6" l="1"/>
  <c r="B29" i="6"/>
  <c r="B31" i="6" s="1"/>
  <c r="U10" i="6"/>
  <c r="U12" i="6"/>
  <c r="U11" i="6"/>
  <c r="U13" i="6"/>
  <c r="U9" i="6"/>
  <c r="U7" i="6"/>
  <c r="U6" i="6"/>
  <c r="V14" i="6" l="1"/>
  <c r="W14" i="6" s="1"/>
  <c r="V13" i="6"/>
  <c r="W13" i="6" s="1"/>
  <c r="V10" i="6"/>
  <c r="W10" i="6" s="1"/>
  <c r="V11" i="6"/>
  <c r="W11" i="6" s="1"/>
  <c r="E26" i="6"/>
  <c r="E37" i="8" s="1"/>
  <c r="V12" i="6"/>
  <c r="W12" i="6" s="1"/>
  <c r="V7" i="6"/>
  <c r="W7" i="6" s="1"/>
  <c r="V9" i="6"/>
  <c r="W9" i="6" s="1"/>
  <c r="V8" i="6"/>
  <c r="W8" i="6" s="1"/>
  <c r="V6" i="6"/>
  <c r="W6" i="6" s="1"/>
  <c r="C33" i="6" l="1"/>
  <c r="E33" i="6" s="1"/>
  <c r="C29" i="6"/>
  <c r="C31" i="6" s="1"/>
  <c r="E31" i="6" s="1"/>
  <c r="E32" i="6" s="1"/>
  <c r="E25" i="6"/>
  <c r="E36" i="8" s="1"/>
  <c r="E27" i="6"/>
  <c r="E38" i="8" s="1"/>
  <c r="E39" i="8" l="1"/>
  <c r="L2" i="4"/>
  <c r="L41" i="4" l="1"/>
  <c r="L14" i="4"/>
  <c r="L15" i="4"/>
  <c r="L45" i="4"/>
  <c r="L19" i="4"/>
  <c r="L34" i="4"/>
  <c r="L47" i="4"/>
  <c r="L52" i="4"/>
  <c r="L21" i="4"/>
  <c r="L46" i="4"/>
  <c r="L17" i="4"/>
  <c r="L43" i="4"/>
  <c r="L13" i="4"/>
  <c r="L32" i="4"/>
  <c r="L28" i="4"/>
  <c r="L31" i="4"/>
  <c r="L23" i="4"/>
  <c r="L24" i="4"/>
  <c r="L35" i="4"/>
  <c r="L30" i="4"/>
  <c r="L40" i="4"/>
  <c r="L22" i="4"/>
  <c r="L37" i="4"/>
  <c r="L50" i="4"/>
  <c r="L36" i="4"/>
  <c r="L20" i="4"/>
  <c r="L29" i="4"/>
  <c r="L25" i="4"/>
  <c r="L27" i="4"/>
  <c r="L26" i="4"/>
  <c r="L16" i="4"/>
  <c r="L49" i="4"/>
  <c r="L42" i="4"/>
  <c r="L44" i="4"/>
  <c r="L38" i="4"/>
  <c r="L51" i="4"/>
  <c r="L39" i="4"/>
  <c r="L48" i="4"/>
  <c r="L18" i="4"/>
  <c r="L33" i="4"/>
  <c r="D8" i="4" l="1"/>
  <c r="H8" i="4"/>
  <c r="G8" i="4"/>
  <c r="E8" i="4"/>
  <c r="F8" i="4"/>
  <c r="C8" i="4"/>
  <c r="T8" i="4"/>
  <c r="Q8" i="4"/>
  <c r="R8" i="4"/>
  <c r="P8" i="4"/>
  <c r="S8" i="4"/>
  <c r="H21" i="8" l="1"/>
  <c r="H22" i="8"/>
  <c r="H24" i="8"/>
  <c r="H23" i="8"/>
  <c r="H25" i="8"/>
  <c r="Q16" i="4"/>
  <c r="M7" i="5" s="1"/>
  <c r="T16" i="4"/>
  <c r="M16" i="5"/>
  <c r="P16" i="4"/>
  <c r="P7" i="5"/>
  <c r="S16" i="4"/>
  <c r="R16" i="4"/>
  <c r="N7" i="5" s="1"/>
  <c r="P16" i="5"/>
  <c r="L16" i="5"/>
  <c r="O16" i="5"/>
  <c r="O7" i="5"/>
  <c r="L17" i="5" l="1"/>
  <c r="K14" i="8" s="1"/>
  <c r="M17" i="5"/>
  <c r="K15" i="8" s="1"/>
  <c r="M8" i="5"/>
  <c r="J15" i="8" s="1"/>
  <c r="N8" i="5"/>
  <c r="J16" i="8" s="1"/>
  <c r="P8" i="5"/>
  <c r="J18" i="8" s="1"/>
  <c r="P17" i="5"/>
  <c r="K18" i="8" s="1"/>
  <c r="O8" i="5"/>
  <c r="J17" i="8" s="1"/>
  <c r="O17" i="5"/>
  <c r="K17" i="8" s="1"/>
  <c r="J8" i="8"/>
  <c r="K8" i="8"/>
  <c r="K9" i="8"/>
  <c r="J9" i="8"/>
  <c r="K10" i="8"/>
  <c r="J10" i="8"/>
  <c r="K12" i="8"/>
  <c r="J12" i="8"/>
  <c r="J11" i="8"/>
  <c r="K11" i="8"/>
  <c r="H26" i="8"/>
  <c r="L7" i="5"/>
  <c r="N16" i="5"/>
  <c r="L8" i="5" l="1"/>
  <c r="J14" i="8" s="1"/>
  <c r="N17" i="5"/>
  <c r="K16" i="8" s="1"/>
  <c r="P9" i="5" l="1"/>
  <c r="J25" i="8" s="1"/>
  <c r="M9" i="5"/>
  <c r="J22" i="8" s="1"/>
  <c r="Q8" i="5"/>
  <c r="J19" i="8" s="1"/>
  <c r="L9" i="5"/>
  <c r="J21" i="8" s="1"/>
  <c r="N9" i="5"/>
  <c r="J23" i="8" s="1"/>
  <c r="O9" i="5"/>
  <c r="J24" i="8" s="1"/>
  <c r="L18" i="5"/>
  <c r="K21" i="8" s="1"/>
  <c r="M18" i="5"/>
  <c r="K22" i="8" s="1"/>
  <c r="Q17" i="5"/>
  <c r="K19" i="8" s="1"/>
  <c r="N18" i="5"/>
  <c r="K23" i="8" s="1"/>
  <c r="O18" i="5"/>
  <c r="K24" i="8" s="1"/>
  <c r="P18" i="5"/>
  <c r="K25" i="8" s="1"/>
  <c r="Q10" i="5" l="1"/>
  <c r="L23" i="5" s="1"/>
  <c r="L26" i="5" s="1"/>
  <c r="Q9" i="5"/>
  <c r="J26" i="8" s="1"/>
  <c r="Q19" i="5"/>
  <c r="K27" i="8" s="1"/>
  <c r="Q18" i="5"/>
  <c r="K26" i="8" s="1"/>
  <c r="J27" i="8" l="1"/>
  <c r="M23" i="5"/>
  <c r="M26" i="5" s="1"/>
  <c r="M27" i="5" s="1"/>
  <c r="L28" i="5"/>
  <c r="L29" i="5"/>
  <c r="L27" i="5"/>
  <c r="O26" i="5" l="1"/>
  <c r="O28" i="5" s="1"/>
  <c r="J30" i="8" s="1"/>
  <c r="M29" i="5"/>
  <c r="M30" i="5" s="1"/>
  <c r="M28" i="5"/>
  <c r="O27" i="5"/>
  <c r="L30" i="5"/>
  <c r="O29" i="5" l="1"/>
  <c r="O30" i="5" s="1"/>
  <c r="J33" i="8" s="1"/>
  <c r="Y8" i="6"/>
  <c r="Z8" i="6" s="1"/>
  <c r="Y6" i="6"/>
  <c r="Z6" i="6" s="1"/>
  <c r="Y9" i="6"/>
  <c r="Z9" i="6" s="1"/>
  <c r="Y7" i="6"/>
  <c r="Z7" i="6" s="1"/>
  <c r="Y14" i="6"/>
  <c r="D20" i="6" s="1"/>
  <c r="F20" i="6" s="1"/>
  <c r="J31" i="8" s="1"/>
  <c r="Y10" i="6"/>
  <c r="Z10" i="6" s="1"/>
  <c r="Y12" i="6"/>
  <c r="Z12" i="6" s="1"/>
  <c r="Y5" i="6"/>
  <c r="Z5" i="6" s="1"/>
  <c r="AA5" i="6" s="1"/>
  <c r="AB5" i="6" s="1"/>
  <c r="Y11" i="6"/>
  <c r="Z11" i="6" s="1"/>
  <c r="Y13" i="6"/>
  <c r="Z13" i="6" s="1"/>
  <c r="F19" i="6"/>
  <c r="AA11" i="6" l="1"/>
  <c r="AB11" i="6" s="1"/>
  <c r="Z14" i="6"/>
  <c r="AA14" i="6" s="1"/>
  <c r="AB14" i="6" s="1"/>
  <c r="AA10" i="6"/>
  <c r="AB10" i="6" s="1"/>
  <c r="AA12" i="6"/>
  <c r="AB12" i="6" s="1"/>
  <c r="AA7" i="6"/>
  <c r="AB7" i="6" s="1"/>
  <c r="D21" i="6"/>
  <c r="F21" i="6" s="1"/>
  <c r="J32" i="8" s="1"/>
  <c r="AA8" i="6"/>
  <c r="AB8" i="6" s="1"/>
  <c r="AA6" i="6"/>
  <c r="AB6" i="6" s="1"/>
  <c r="AA9" i="6"/>
  <c r="AB9" i="6" s="1"/>
  <c r="AA13" i="6"/>
  <c r="AB13" i="6" s="1"/>
</calcChain>
</file>

<file path=xl/sharedStrings.xml><?xml version="1.0" encoding="utf-8"?>
<sst xmlns="http://schemas.openxmlformats.org/spreadsheetml/2006/main" count="536" uniqueCount="244">
  <si>
    <t>Equipment</t>
  </si>
  <si>
    <t>Structures</t>
  </si>
  <si>
    <t>Rental residential property</t>
  </si>
  <si>
    <t>R&amp;D intellectual property</t>
  </si>
  <si>
    <t>Other intellectual property</t>
  </si>
  <si>
    <t>i</t>
  </si>
  <si>
    <t>Share of value added</t>
  </si>
  <si>
    <t>C corporations</t>
  </si>
  <si>
    <t>Pass-throughs</t>
  </si>
  <si>
    <t>Government, households, and nonprofits</t>
  </si>
  <si>
    <t>Parameter</t>
  </si>
  <si>
    <r>
      <t xml:space="preserve">Nominal interest rate on corporate bonds, </t>
    </r>
    <r>
      <rPr>
        <i/>
        <sz val="11"/>
        <color theme="1"/>
        <rFont val="Calibri"/>
        <family val="2"/>
        <scheme val="minor"/>
      </rPr>
      <t>i</t>
    </r>
  </si>
  <si>
    <r>
      <t xml:space="preserve">Inflation expectations, </t>
    </r>
    <r>
      <rPr>
        <i/>
        <sz val="11"/>
        <color theme="1"/>
        <rFont val="Calibri"/>
        <family val="2"/>
        <scheme val="minor"/>
      </rPr>
      <t>π</t>
    </r>
  </si>
  <si>
    <r>
      <t xml:space="preserve">After-tax expected real rate of return on capital,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k</t>
    </r>
  </si>
  <si>
    <r>
      <t xml:space="preserve">Debt share of financing, </t>
    </r>
    <r>
      <rPr>
        <i/>
        <sz val="11"/>
        <color theme="1"/>
        <rFont val="Calibri"/>
        <family val="2"/>
        <scheme val="minor"/>
      </rPr>
      <t>B/PK</t>
    </r>
  </si>
  <si>
    <t>Value</t>
  </si>
  <si>
    <r>
      <t xml:space="preserve">Overall share of income, </t>
    </r>
    <r>
      <rPr>
        <sz val="11"/>
        <color theme="1"/>
        <rFont val="Calibri"/>
        <family val="2"/>
      </rPr>
      <t>α</t>
    </r>
  </si>
  <si>
    <t>Baseline</t>
  </si>
  <si>
    <r>
      <t xml:space="preserve">Share of income: C corporations, </t>
    </r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Calibri"/>
        <family val="2"/>
      </rPr>
      <t>i</t>
    </r>
  </si>
  <si>
    <r>
      <t xml:space="preserve">Depreciation, </t>
    </r>
    <r>
      <rPr>
        <i/>
        <sz val="11"/>
        <color theme="1"/>
        <rFont val="Calibri"/>
        <family val="2"/>
      </rPr>
      <t>δ</t>
    </r>
  </si>
  <si>
    <t>delta_eq</t>
  </si>
  <si>
    <t>delta_st</t>
  </si>
  <si>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= 0.06</t>
    </r>
  </si>
  <si>
    <t>α = 1/3</t>
  </si>
  <si>
    <t>α = 0.4</t>
  </si>
  <si>
    <t>Scenario</t>
  </si>
  <si>
    <t>Parameter Scenarios</t>
  </si>
  <si>
    <t>rho</t>
  </si>
  <si>
    <t>pi</t>
  </si>
  <si>
    <t>i_bond</t>
  </si>
  <si>
    <t>pct_debt</t>
  </si>
  <si>
    <t>va_c</t>
  </si>
  <si>
    <t>va_p</t>
  </si>
  <si>
    <t>va_g</t>
  </si>
  <si>
    <t>delta_rr</t>
  </si>
  <si>
    <t>delta_rd</t>
  </si>
  <si>
    <t>delta_ip</t>
  </si>
  <si>
    <t>alpha</t>
  </si>
  <si>
    <t>alpha_c_eq</t>
  </si>
  <si>
    <t>alpha_c_st</t>
  </si>
  <si>
    <t>alpha_c_rr</t>
  </si>
  <si>
    <t>alpha_c_rd</t>
  </si>
  <si>
    <t>alpha_c_ip</t>
  </si>
  <si>
    <t>alpha_p_eq</t>
  </si>
  <si>
    <t>alpha_p_st</t>
  </si>
  <si>
    <t>alpha_p_rr</t>
  </si>
  <si>
    <t>alpha_p_rd</t>
  </si>
  <si>
    <t>alpha_p_ip</t>
  </si>
  <si>
    <t>econ_param</t>
  </si>
  <si>
    <r>
      <t xml:space="preserve">Corporate tax rate, </t>
    </r>
    <r>
      <rPr>
        <sz val="11"/>
        <color theme="1"/>
        <rFont val="Calibri"/>
        <family val="2"/>
      </rPr>
      <t>τ</t>
    </r>
    <r>
      <rPr>
        <vertAlign val="subscript"/>
        <sz val="11"/>
        <color theme="1"/>
        <rFont val="Calibri"/>
        <family val="2"/>
      </rPr>
      <t>c</t>
    </r>
  </si>
  <si>
    <t>Corporate R&amp;E credit rate</t>
  </si>
  <si>
    <r>
      <t xml:space="preserve">Pass-through tax rate, </t>
    </r>
    <r>
      <rPr>
        <sz val="11"/>
        <color theme="1"/>
        <rFont val="Calibri"/>
        <family val="2"/>
      </rPr>
      <t>τ</t>
    </r>
    <r>
      <rPr>
        <vertAlign val="subscript"/>
        <sz val="11"/>
        <color theme="1"/>
        <rFont val="Calibri"/>
        <family val="2"/>
      </rPr>
      <t>p</t>
    </r>
  </si>
  <si>
    <t>Effective limitation on debt</t>
  </si>
  <si>
    <t>debt_lim</t>
  </si>
  <si>
    <t>tau_p</t>
  </si>
  <si>
    <t>re_cred</t>
  </si>
  <si>
    <t>tau_c</t>
  </si>
  <si>
    <t>Capital cost recovery method</t>
  </si>
  <si>
    <t>Bonus depreciation</t>
  </si>
  <si>
    <t>Law as Written</t>
  </si>
  <si>
    <t>Provisions Permanent</t>
  </si>
  <si>
    <t>Permanent bonus depreciation</t>
  </si>
  <si>
    <t>Full Expensing</t>
  </si>
  <si>
    <t>Pass-through Provisions Permanent</t>
  </si>
  <si>
    <t>ccr_eq</t>
  </si>
  <si>
    <t>ccr_st</t>
  </si>
  <si>
    <t>ccr_rr</t>
  </si>
  <si>
    <t>ccr_rd</t>
  </si>
  <si>
    <t>ccr_ip</t>
  </si>
  <si>
    <t>bonus_eq</t>
  </si>
  <si>
    <t>bonus_st</t>
  </si>
  <si>
    <t>bonus_rr</t>
  </si>
  <si>
    <t>bonus_rd</t>
  </si>
  <si>
    <t>bonus_ip</t>
  </si>
  <si>
    <t>DDB</t>
  </si>
  <si>
    <t>EXP</t>
  </si>
  <si>
    <t>SL</t>
  </si>
  <si>
    <t>policy_param</t>
  </si>
  <si>
    <t>_1</t>
  </si>
  <si>
    <t>Shift from pass-through to corporate sector (p.p.)</t>
  </si>
  <si>
    <t>sect_shift</t>
  </si>
  <si>
    <t>IRS Depreciation Tables, Half-year Convention</t>
  </si>
  <si>
    <t>Double Declining</t>
  </si>
  <si>
    <t>Straightline</t>
  </si>
  <si>
    <t>Year</t>
  </si>
  <si>
    <t>5-year</t>
  </si>
  <si>
    <t>7-year</t>
  </si>
  <si>
    <t>20-year</t>
  </si>
  <si>
    <t>27.5-year</t>
  </si>
  <si>
    <t>39-year</t>
  </si>
  <si>
    <t>Total</t>
  </si>
  <si>
    <t>Reform</t>
  </si>
  <si>
    <t>Rental Residential</t>
  </si>
  <si>
    <t>User Cost: Baseline</t>
  </si>
  <si>
    <t>User Cost: Reform</t>
  </si>
  <si>
    <t>Percent Change in User Cost</t>
  </si>
  <si>
    <t>Reform w/o crowd out</t>
  </si>
  <si>
    <t>Reform w/ crowd out</t>
  </si>
  <si>
    <t>R&amp;D</t>
  </si>
  <si>
    <t>Other IP</t>
  </si>
  <si>
    <t>_0</t>
  </si>
  <si>
    <t>Capital Cost Recovery - With Bonus Depreciation</t>
  </si>
  <si>
    <t>Percent Change in K/L</t>
  </si>
  <si>
    <t>Percent Change in Y/L</t>
  </si>
  <si>
    <t>Pass-through sector</t>
  </si>
  <si>
    <t>eq</t>
  </si>
  <si>
    <t>st</t>
  </si>
  <si>
    <t>rr</t>
  </si>
  <si>
    <t>rd</t>
  </si>
  <si>
    <t>ip</t>
  </si>
  <si>
    <t>C corporation sector</t>
  </si>
  <si>
    <t>Income share</t>
  </si>
  <si>
    <t>Average</t>
  </si>
  <si>
    <t>Results</t>
  </si>
  <si>
    <t>Corporate</t>
  </si>
  <si>
    <t>Passthrough</t>
  </si>
  <si>
    <t>Non-business</t>
  </si>
  <si>
    <t>Y, initial</t>
  </si>
  <si>
    <t>Y, reform</t>
  </si>
  <si>
    <t>Y share, reform</t>
  </si>
  <si>
    <t>% change Y</t>
  </si>
  <si>
    <t>% ch Y/L</t>
  </si>
  <si>
    <t>Sector shift (p.p.)</t>
  </si>
  <si>
    <t>Y, reform - 10% bonus for switchers</t>
  </si>
  <si>
    <t>% ch Y, 10% bonus for switchers</t>
  </si>
  <si>
    <t>_1co</t>
  </si>
  <si>
    <t>No Crowd Out</t>
  </si>
  <si>
    <t>With Crowd Out</t>
  </si>
  <si>
    <t>Primary Deficit Effect</t>
  </si>
  <si>
    <t>year</t>
  </si>
  <si>
    <t>Revenue</t>
  </si>
  <si>
    <t>Public debt</t>
  </si>
  <si>
    <t>GDP</t>
  </si>
  <si>
    <t>Revenue (% of GDP)</t>
  </si>
  <si>
    <t>Primary Deficit Effect ($b)</t>
  </si>
  <si>
    <t>Dynamic Revenue Cost</t>
  </si>
  <si>
    <t>Debt Service</t>
  </si>
  <si>
    <t>Total Dynamic Cost</t>
  </si>
  <si>
    <t>Without Crowd Out</t>
  </si>
  <si>
    <t>Number of Households</t>
  </si>
  <si>
    <t>Population Growth</t>
  </si>
  <si>
    <t>Baseline (June 2017 CBO)</t>
  </si>
  <si>
    <t>Change due to reform</t>
  </si>
  <si>
    <t>Long-run level</t>
  </si>
  <si>
    <t>No crowd out</t>
  </si>
  <si>
    <t>Crowd Out</t>
  </si>
  <si>
    <t>10-year level</t>
  </si>
  <si>
    <t>10-year growth rate</t>
  </si>
  <si>
    <t>Per household</t>
  </si>
  <si>
    <t>Cost</t>
  </si>
  <si>
    <t>Conventional</t>
  </si>
  <si>
    <t>Dynamic Feedback</t>
  </si>
  <si>
    <t>Crowd out effect on interest rates</t>
  </si>
  <si>
    <t>Unified Deficit, 2018–27</t>
  </si>
  <si>
    <t>Cumulative GDP, 2018–27</t>
  </si>
  <si>
    <t>Deficit (% of GDP), 2018–27</t>
  </si>
  <si>
    <t>Debt/GDP Ratio, 2027</t>
  </si>
  <si>
    <t>Input</t>
  </si>
  <si>
    <t>Baseline Scenario</t>
  </si>
  <si>
    <t>Reform Scenario</t>
  </si>
  <si>
    <t>Economic Parameter Scenario</t>
  </si>
  <si>
    <t>Effective expensing rate</t>
  </si>
  <si>
    <t>User cost of capital</t>
  </si>
  <si>
    <t>Percent change in capital-labor ratio</t>
  </si>
  <si>
    <t>Percent change in output per worker Y/L</t>
  </si>
  <si>
    <t>With 10% level shift in productivity for switchers</t>
  </si>
  <si>
    <t>Change in Economy-Wide Output</t>
  </si>
  <si>
    <t>Long-run</t>
  </si>
  <si>
    <t>10-years: change in level</t>
  </si>
  <si>
    <t>10-years: change in growth rate</t>
  </si>
  <si>
    <t>Pass-through businesses</t>
  </si>
  <si>
    <t>C Corporations</t>
  </si>
  <si>
    <t>Conventional score</t>
  </si>
  <si>
    <t>Dynamic feedback</t>
  </si>
  <si>
    <t>Dynamic score</t>
  </si>
  <si>
    <t>Cost per household</t>
  </si>
  <si>
    <t>Change in interest rates due to crowding out</t>
  </si>
  <si>
    <t>Financing</t>
  </si>
  <si>
    <t>Crowd out</t>
  </si>
  <si>
    <t>Pass-through</t>
  </si>
  <si>
    <t>IP: Non-R&amp;D</t>
  </si>
  <si>
    <t>IP: R&amp;D</t>
  </si>
  <si>
    <t>C corporation</t>
  </si>
  <si>
    <t>Income Share</t>
  </si>
  <si>
    <t>Income</t>
  </si>
  <si>
    <t>Asset Share</t>
  </si>
  <si>
    <t>RES</t>
  </si>
  <si>
    <t>Residential Buildings</t>
  </si>
  <si>
    <t>Residential</t>
  </si>
  <si>
    <t>Intellectual Property</t>
  </si>
  <si>
    <t>assets_nc</t>
  </si>
  <si>
    <t>assets_c</t>
  </si>
  <si>
    <t>bea_asset_code</t>
  </si>
  <si>
    <t>major_asset_group</t>
  </si>
  <si>
    <t>asset_category</t>
  </si>
  <si>
    <t>GDS Class Life</t>
  </si>
  <si>
    <t>Asset Type</t>
  </si>
  <si>
    <t>D_ip</t>
  </si>
  <si>
    <t>D_rr</t>
  </si>
  <si>
    <t>I_ip</t>
  </si>
  <si>
    <t>I_rr</t>
  </si>
  <si>
    <t>K_ip</t>
  </si>
  <si>
    <t>K_rr</t>
  </si>
  <si>
    <t>Calculated</t>
  </si>
  <si>
    <t>K_eq</t>
  </si>
  <si>
    <t>K_st</t>
  </si>
  <si>
    <t>K_rd</t>
  </si>
  <si>
    <t>K_allIP</t>
  </si>
  <si>
    <t>I_eq</t>
  </si>
  <si>
    <t>I_st</t>
  </si>
  <si>
    <t>I_rd</t>
  </si>
  <si>
    <t>I_allIP</t>
  </si>
  <si>
    <t>D_eq</t>
  </si>
  <si>
    <t>D_st</t>
  </si>
  <si>
    <t>D_rd</t>
  </si>
  <si>
    <t>D_allIP</t>
  </si>
  <si>
    <t>Capital Cost Recovery - Before Bonus Depreciation</t>
  </si>
  <si>
    <t>Output</t>
  </si>
  <si>
    <t>Allows user to select policy scenario and set of economic parameters to model</t>
  </si>
  <si>
    <t>UC_K_Y</t>
  </si>
  <si>
    <t>Fiscal</t>
  </si>
  <si>
    <t>Calculates 10-year growth and financing measures</t>
  </si>
  <si>
    <t>CCR</t>
  </si>
  <si>
    <t>Calculates effective expensing rates for each type of capital</t>
  </si>
  <si>
    <t>EconParam</t>
  </si>
  <si>
    <t>Specifies economic parameters</t>
  </si>
  <si>
    <t>PolicyParam</t>
  </si>
  <si>
    <t>Specifies policy scenarios</t>
  </si>
  <si>
    <t>DebtService</t>
  </si>
  <si>
    <t>Used to approximate debt service costs for a given change in the primary deficit</t>
  </si>
  <si>
    <t>Alpha</t>
  </si>
  <si>
    <t>EconDeprecData</t>
  </si>
  <si>
    <t>Sheet</t>
  </si>
  <si>
    <t>Description</t>
  </si>
  <si>
    <t>Alternate Baseline</t>
  </si>
  <si>
    <t>_B</t>
  </si>
  <si>
    <t>Current Law Baseline</t>
  </si>
  <si>
    <t>User Cost: Current Law Baseline</t>
  </si>
  <si>
    <t>User Cost: Alternative Baseline</t>
  </si>
  <si>
    <t>Y, alternative baseline</t>
  </si>
  <si>
    <t>Y share, alternative baseline</t>
  </si>
  <si>
    <t>Contains BLS data used to calculate the economic depreciation rates for each type of capital</t>
  </si>
  <si>
    <t>Calculates income shares for each type of capital based on BLS and B-Tax data</t>
  </si>
  <si>
    <t>Calculates user cost of capital, the change in the user cost, the change in the capital-labor ratio, and the long-run change in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</si>
</sst>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"/>
    <numFmt numFmtId="167" formatCode="0.0%"/>
    <numFmt numFmtId="168" formatCode="_(&quot;$&quot;* #,##0_);_(&quot;$&quot;* \(#,##0\);_(&quot;$&quot;* &quot;-&quot;??_);_(@_)"/>
    <numFmt numFmtId="169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9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3" fillId="0" borderId="0" xfId="0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wrapText="1"/>
    </xf>
    <xf numFmtId="2" fontId="0" fillId="0" borderId="0" xfId="0" applyNumberFormat="1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Border="1" applyAlignment="1">
      <alignment horizontal="left"/>
    </xf>
    <xf numFmtId="9" fontId="0" fillId="0" borderId="0" xfId="0" applyNumberFormat="1" applyBorder="1"/>
    <xf numFmtId="10" fontId="0" fillId="0" borderId="0" xfId="0" applyNumberFormat="1" applyBorder="1"/>
    <xf numFmtId="9" fontId="0" fillId="0" borderId="4" xfId="0" applyNumberFormat="1" applyBorder="1"/>
    <xf numFmtId="10" fontId="0" fillId="0" borderId="5" xfId="2" applyNumberFormat="1" applyFont="1" applyBorder="1"/>
    <xf numFmtId="10" fontId="0" fillId="0" borderId="0" xfId="0" applyNumberFormat="1" applyFill="1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10" fontId="0" fillId="0" borderId="8" xfId="2" applyNumberFormat="1" applyFont="1" applyFill="1" applyBorder="1"/>
    <xf numFmtId="0" fontId="0" fillId="0" borderId="9" xfId="0" applyBorder="1"/>
    <xf numFmtId="10" fontId="0" fillId="0" borderId="10" xfId="0" applyNumberFormat="1" applyBorder="1"/>
    <xf numFmtId="10" fontId="0" fillId="0" borderId="9" xfId="0" applyNumberFormat="1" applyBorder="1"/>
    <xf numFmtId="10" fontId="0" fillId="0" borderId="11" xfId="0" applyNumberFormat="1" applyBorder="1"/>
    <xf numFmtId="0" fontId="0" fillId="0" borderId="0" xfId="0" applyBorder="1" applyAlignment="1">
      <alignment horizont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9" fontId="0" fillId="0" borderId="0" xfId="2" applyFont="1"/>
    <xf numFmtId="167" fontId="0" fillId="0" borderId="0" xfId="2" applyNumberFormat="1" applyFont="1"/>
    <xf numFmtId="10" fontId="0" fillId="0" borderId="0" xfId="2" applyNumberFormat="1" applyFont="1"/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right"/>
    </xf>
    <xf numFmtId="9" fontId="0" fillId="0" borderId="0" xfId="0" applyNumberFormat="1" applyAlignment="1">
      <alignment horizontal="right"/>
    </xf>
    <xf numFmtId="9" fontId="0" fillId="0" borderId="0" xfId="0" applyNumberFormat="1"/>
    <xf numFmtId="167" fontId="0" fillId="0" borderId="0" xfId="2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0" xfId="0" applyNumberFormat="1"/>
    <xf numFmtId="167" fontId="0" fillId="0" borderId="0" xfId="0" applyNumberFormat="1" applyFill="1" applyAlignment="1">
      <alignment horizontal="right"/>
    </xf>
    <xf numFmtId="0" fontId="0" fillId="0" borderId="0" xfId="0" applyFont="1" applyBorder="1"/>
    <xf numFmtId="164" fontId="2" fillId="0" borderId="1" xfId="0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Font="1" applyBorder="1"/>
    <xf numFmtId="164" fontId="0" fillId="0" borderId="0" xfId="0" applyNumberFormat="1" applyFont="1"/>
    <xf numFmtId="0" fontId="11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0" xfId="0" applyFont="1" applyFill="1"/>
    <xf numFmtId="1" fontId="12" fillId="0" borderId="0" xfId="0" applyNumberFormat="1" applyFont="1" applyFill="1"/>
    <xf numFmtId="1" fontId="0" fillId="0" borderId="0" xfId="0" applyNumberFormat="1"/>
    <xf numFmtId="168" fontId="0" fillId="0" borderId="0" xfId="1" applyNumberFormat="1" applyFont="1"/>
    <xf numFmtId="169" fontId="0" fillId="0" borderId="0" xfId="0" applyNumberFormat="1"/>
    <xf numFmtId="169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/>
    <xf numFmtId="165" fontId="0" fillId="0" borderId="0" xfId="0" applyNumberFormat="1" applyAlignment="1">
      <alignment horizontal="center"/>
    </xf>
    <xf numFmtId="167" fontId="0" fillId="0" borderId="0" xfId="2" applyNumberFormat="1" applyFont="1" applyAlignment="1">
      <alignment horizontal="center"/>
    </xf>
    <xf numFmtId="167" fontId="0" fillId="0" borderId="0" xfId="2" applyNumberFormat="1" applyFont="1" applyAlignment="1"/>
    <xf numFmtId="2" fontId="0" fillId="0" borderId="0" xfId="2" applyNumberFormat="1" applyFont="1" applyAlignment="1"/>
    <xf numFmtId="10" fontId="0" fillId="0" borderId="0" xfId="2" applyNumberFormat="1" applyFont="1" applyAlignment="1"/>
    <xf numFmtId="169" fontId="0" fillId="0" borderId="0" xfId="0" applyNumberFormat="1" applyAlignment="1"/>
    <xf numFmtId="0" fontId="0" fillId="3" borderId="0" xfId="0" applyFill="1"/>
    <xf numFmtId="9" fontId="0" fillId="0" borderId="0" xfId="2" applyNumberFormat="1" applyFont="1" applyAlignment="1">
      <alignment horizontal="right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818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181"/>
  </sheetPr>
  <dimension ref="A1:B10"/>
  <sheetViews>
    <sheetView workbookViewId="0">
      <selection activeCell="B4" sqref="B4"/>
    </sheetView>
  </sheetViews>
  <sheetFormatPr defaultRowHeight="14.4" x14ac:dyDescent="0.55000000000000004"/>
  <cols>
    <col min="1" max="1" width="13.9453125" bestFit="1" customWidth="1"/>
    <col min="2" max="2" width="75.9453125" customWidth="1"/>
  </cols>
  <sheetData>
    <row r="1" spans="1:2" x14ac:dyDescent="0.55000000000000004">
      <c r="A1" s="2" t="s">
        <v>232</v>
      </c>
      <c r="B1" s="2" t="s">
        <v>233</v>
      </c>
    </row>
    <row r="2" spans="1:2" x14ac:dyDescent="0.55000000000000004">
      <c r="A2" t="s">
        <v>217</v>
      </c>
      <c r="B2" s="11" t="s">
        <v>218</v>
      </c>
    </row>
    <row r="3" spans="1:2" ht="28.8" x14ac:dyDescent="0.55000000000000004">
      <c r="A3" t="s">
        <v>219</v>
      </c>
      <c r="B3" s="11" t="s">
        <v>243</v>
      </c>
    </row>
    <row r="4" spans="1:2" x14ac:dyDescent="0.55000000000000004">
      <c r="A4" t="s">
        <v>220</v>
      </c>
      <c r="B4" s="11" t="s">
        <v>221</v>
      </c>
    </row>
    <row r="5" spans="1:2" x14ac:dyDescent="0.55000000000000004">
      <c r="A5" t="s">
        <v>222</v>
      </c>
      <c r="B5" s="11" t="s">
        <v>223</v>
      </c>
    </row>
    <row r="6" spans="1:2" x14ac:dyDescent="0.55000000000000004">
      <c r="A6" t="s">
        <v>224</v>
      </c>
      <c r="B6" s="11" t="s">
        <v>225</v>
      </c>
    </row>
    <row r="7" spans="1:2" x14ac:dyDescent="0.55000000000000004">
      <c r="A7" t="s">
        <v>226</v>
      </c>
      <c r="B7" s="11" t="s">
        <v>227</v>
      </c>
    </row>
    <row r="8" spans="1:2" x14ac:dyDescent="0.55000000000000004">
      <c r="A8" t="s">
        <v>228</v>
      </c>
      <c r="B8" s="11" t="s">
        <v>229</v>
      </c>
    </row>
    <row r="9" spans="1:2" x14ac:dyDescent="0.55000000000000004">
      <c r="A9" t="s">
        <v>230</v>
      </c>
      <c r="B9" s="11" t="s">
        <v>242</v>
      </c>
    </row>
    <row r="10" spans="1:2" x14ac:dyDescent="0.55000000000000004">
      <c r="A10" t="s">
        <v>231</v>
      </c>
      <c r="B10" s="11" t="s">
        <v>241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B2" sqref="B2"/>
    </sheetView>
  </sheetViews>
  <sheetFormatPr defaultColWidth="8.83984375" defaultRowHeight="14.4" x14ac:dyDescent="0.55000000000000004"/>
  <sheetData>
    <row r="1" spans="1:19" x14ac:dyDescent="0.55000000000000004">
      <c r="B1" t="s">
        <v>204</v>
      </c>
      <c r="C1" t="s">
        <v>205</v>
      </c>
      <c r="D1" t="s">
        <v>202</v>
      </c>
      <c r="E1" t="s">
        <v>206</v>
      </c>
      <c r="F1" t="s">
        <v>201</v>
      </c>
      <c r="G1" t="s">
        <v>207</v>
      </c>
      <c r="H1" t="s">
        <v>208</v>
      </c>
      <c r="I1" t="s">
        <v>209</v>
      </c>
      <c r="J1" t="s">
        <v>200</v>
      </c>
      <c r="K1" t="s">
        <v>210</v>
      </c>
      <c r="L1" t="s">
        <v>199</v>
      </c>
      <c r="M1" t="s">
        <v>211</v>
      </c>
      <c r="N1" t="s">
        <v>212</v>
      </c>
      <c r="O1" t="s">
        <v>213</v>
      </c>
      <c r="P1" t="s">
        <v>198</v>
      </c>
      <c r="Q1" t="s">
        <v>214</v>
      </c>
      <c r="R1" t="s">
        <v>197</v>
      </c>
      <c r="S1" t="s">
        <v>215</v>
      </c>
    </row>
    <row r="2" spans="1:19" x14ac:dyDescent="0.55000000000000004">
      <c r="A2">
        <v>1987</v>
      </c>
      <c r="B2">
        <v>3900.0740000000001</v>
      </c>
      <c r="C2">
        <v>9540.7099999999991</v>
      </c>
      <c r="D2">
        <v>2287.1990000000001</v>
      </c>
      <c r="E2">
        <v>570.59500000000003</v>
      </c>
      <c r="F2">
        <f t="shared" ref="F2:F31" si="0">G2-E2</f>
        <v>335.96899999999994</v>
      </c>
      <c r="G2">
        <v>906.56399999999996</v>
      </c>
      <c r="H2">
        <v>370.91899999999998</v>
      </c>
      <c r="I2">
        <v>407.05700000000002</v>
      </c>
      <c r="J2">
        <v>91.691999999999993</v>
      </c>
      <c r="K2">
        <v>105.16800000000001</v>
      </c>
      <c r="L2">
        <f t="shared" ref="L2:L31" si="1">M2-K2</f>
        <v>63.138000000000005</v>
      </c>
      <c r="M2">
        <v>168.30600000000001</v>
      </c>
      <c r="N2">
        <f t="shared" ref="N2:N30" si="2">-(B3-B2-H2)</f>
        <v>320.03499999999997</v>
      </c>
      <c r="O2">
        <f t="shared" ref="O2:O30" si="3">-(C3-C2-I2)</f>
        <v>175.95999999999844</v>
      </c>
      <c r="P2">
        <f t="shared" ref="P2:P30" si="4">-(D3-D2-J2)</f>
        <v>54.798000000000215</v>
      </c>
      <c r="Q2">
        <f t="shared" ref="Q2:Q30" si="5">-(E3-E2-K2)</f>
        <v>71.809000000000083</v>
      </c>
      <c r="R2">
        <f t="shared" ref="R2:R30" si="6">-(F3-F2-L2)</f>
        <v>42.551999999999879</v>
      </c>
      <c r="S2">
        <f t="shared" ref="S2:S30" si="7">-(G3-G2-M2)</f>
        <v>114.36099999999996</v>
      </c>
    </row>
    <row r="3" spans="1:19" x14ac:dyDescent="0.55000000000000004">
      <c r="A3">
        <f t="shared" ref="A3:A30" si="8">A2+1</f>
        <v>1988</v>
      </c>
      <c r="B3">
        <v>3950.9580000000001</v>
      </c>
      <c r="C3">
        <v>9771.8070000000007</v>
      </c>
      <c r="D3">
        <v>2324.0929999999998</v>
      </c>
      <c r="E3">
        <v>603.95399999999995</v>
      </c>
      <c r="F3">
        <f t="shared" si="0"/>
        <v>356.55500000000006</v>
      </c>
      <c r="G3">
        <v>960.50900000000001</v>
      </c>
      <c r="H3">
        <v>391.56900000000002</v>
      </c>
      <c r="I3">
        <v>408.14800000000002</v>
      </c>
      <c r="J3">
        <v>80.447000000000003</v>
      </c>
      <c r="K3">
        <v>108.89100000000001</v>
      </c>
      <c r="L3">
        <f t="shared" si="1"/>
        <v>67.099000000000004</v>
      </c>
      <c r="M3">
        <v>175.99</v>
      </c>
      <c r="N3">
        <f t="shared" si="2"/>
        <v>328.32400000000013</v>
      </c>
      <c r="O3">
        <f t="shared" si="3"/>
        <v>183.56600000000151</v>
      </c>
      <c r="P3">
        <f t="shared" si="4"/>
        <v>50.148000000000025</v>
      </c>
      <c r="Q3">
        <f t="shared" si="5"/>
        <v>74.45499999999997</v>
      </c>
      <c r="R3">
        <f t="shared" si="6"/>
        <v>44.361000000000061</v>
      </c>
      <c r="S3">
        <f t="shared" si="7"/>
        <v>118.81600000000003</v>
      </c>
    </row>
    <row r="4" spans="1:19" x14ac:dyDescent="0.55000000000000004">
      <c r="A4">
        <f t="shared" si="8"/>
        <v>1989</v>
      </c>
      <c r="B4">
        <v>4014.203</v>
      </c>
      <c r="C4">
        <v>9996.3889999999992</v>
      </c>
      <c r="D4">
        <v>2354.3919999999998</v>
      </c>
      <c r="E4">
        <v>638.39</v>
      </c>
      <c r="F4">
        <f t="shared" si="0"/>
        <v>379.29300000000001</v>
      </c>
      <c r="G4">
        <v>1017.683</v>
      </c>
      <c r="H4">
        <v>407.36</v>
      </c>
      <c r="I4">
        <v>405.87799999999999</v>
      </c>
      <c r="J4">
        <v>81.346999999999994</v>
      </c>
      <c r="K4">
        <v>116.251</v>
      </c>
      <c r="L4">
        <f t="shared" si="1"/>
        <v>75.025000000000006</v>
      </c>
      <c r="M4">
        <v>191.27600000000001</v>
      </c>
      <c r="N4">
        <f t="shared" si="2"/>
        <v>347.61599999999987</v>
      </c>
      <c r="O4">
        <f t="shared" si="3"/>
        <v>178.39999999999901</v>
      </c>
      <c r="P4">
        <f t="shared" si="4"/>
        <v>54.4459999999997</v>
      </c>
      <c r="Q4">
        <f t="shared" si="5"/>
        <v>79.492999999999967</v>
      </c>
      <c r="R4">
        <f t="shared" si="6"/>
        <v>49.891999999999967</v>
      </c>
      <c r="S4">
        <f t="shared" si="7"/>
        <v>129.38499999999993</v>
      </c>
    </row>
    <row r="5" spans="1:19" x14ac:dyDescent="0.55000000000000004">
      <c r="A5">
        <f t="shared" si="8"/>
        <v>1990</v>
      </c>
      <c r="B5">
        <v>4073.9470000000001</v>
      </c>
      <c r="C5">
        <v>10223.867</v>
      </c>
      <c r="D5">
        <v>2381.2930000000001</v>
      </c>
      <c r="E5">
        <v>675.14800000000002</v>
      </c>
      <c r="F5">
        <f t="shared" si="0"/>
        <v>404.42600000000004</v>
      </c>
      <c r="G5">
        <v>1079.5740000000001</v>
      </c>
      <c r="H5">
        <v>396.59199999999998</v>
      </c>
      <c r="I5">
        <v>425.709</v>
      </c>
      <c r="J5">
        <v>76.444999999999993</v>
      </c>
      <c r="K5">
        <v>122.759</v>
      </c>
      <c r="L5">
        <f t="shared" si="1"/>
        <v>80.566999999999993</v>
      </c>
      <c r="M5">
        <v>203.32599999999999</v>
      </c>
      <c r="N5">
        <f t="shared" si="2"/>
        <v>360.34099999999978</v>
      </c>
      <c r="O5">
        <f t="shared" si="3"/>
        <v>222.97700000000003</v>
      </c>
      <c r="P5">
        <f t="shared" si="4"/>
        <v>60.81000000000023</v>
      </c>
      <c r="Q5">
        <f t="shared" si="5"/>
        <v>84.715999999999994</v>
      </c>
      <c r="R5">
        <f t="shared" si="6"/>
        <v>55.004000000000005</v>
      </c>
      <c r="S5">
        <f t="shared" si="7"/>
        <v>139.72</v>
      </c>
    </row>
    <row r="6" spans="1:19" x14ac:dyDescent="0.55000000000000004">
      <c r="A6">
        <f t="shared" si="8"/>
        <v>1991</v>
      </c>
      <c r="B6">
        <v>4110.1980000000003</v>
      </c>
      <c r="C6">
        <v>10426.599</v>
      </c>
      <c r="D6">
        <v>2396.9279999999999</v>
      </c>
      <c r="E6">
        <v>713.19100000000003</v>
      </c>
      <c r="F6">
        <f t="shared" si="0"/>
        <v>429.98900000000003</v>
      </c>
      <c r="G6">
        <v>1143.18</v>
      </c>
      <c r="H6">
        <v>371.36599999999999</v>
      </c>
      <c r="I6">
        <v>368.15</v>
      </c>
      <c r="J6">
        <v>61.564</v>
      </c>
      <c r="K6">
        <v>128.25399999999999</v>
      </c>
      <c r="L6">
        <f t="shared" si="1"/>
        <v>85.936000000000007</v>
      </c>
      <c r="M6">
        <v>214.19</v>
      </c>
      <c r="N6">
        <f t="shared" si="2"/>
        <v>346.32999999999993</v>
      </c>
      <c r="O6">
        <f t="shared" si="3"/>
        <v>220.14899999999977</v>
      </c>
      <c r="P6">
        <f t="shared" si="4"/>
        <v>54.461999999999684</v>
      </c>
      <c r="Q6">
        <f t="shared" si="5"/>
        <v>92.068000000000069</v>
      </c>
      <c r="R6">
        <f t="shared" si="6"/>
        <v>59.832999999999942</v>
      </c>
      <c r="S6">
        <f t="shared" si="7"/>
        <v>151.90100000000001</v>
      </c>
    </row>
    <row r="7" spans="1:19" x14ac:dyDescent="0.55000000000000004">
      <c r="A7">
        <f t="shared" si="8"/>
        <v>1992</v>
      </c>
      <c r="B7">
        <v>4135.2340000000004</v>
      </c>
      <c r="C7">
        <v>10574.6</v>
      </c>
      <c r="D7">
        <v>2404.0300000000002</v>
      </c>
      <c r="E7">
        <v>749.37699999999995</v>
      </c>
      <c r="F7">
        <f t="shared" si="0"/>
        <v>456.0920000000001</v>
      </c>
      <c r="G7">
        <v>1205.4690000000001</v>
      </c>
      <c r="H7">
        <v>382.505</v>
      </c>
      <c r="I7">
        <v>327.75299999999999</v>
      </c>
      <c r="J7">
        <v>61.96</v>
      </c>
      <c r="K7">
        <v>128.38800000000001</v>
      </c>
      <c r="L7">
        <f t="shared" si="1"/>
        <v>92.540999999999997</v>
      </c>
      <c r="M7">
        <v>220.929</v>
      </c>
      <c r="N7">
        <f t="shared" si="2"/>
        <v>332.11800000000028</v>
      </c>
      <c r="O7">
        <f t="shared" si="3"/>
        <v>197.34600000000074</v>
      </c>
      <c r="P7">
        <f t="shared" si="4"/>
        <v>52.755000000000074</v>
      </c>
      <c r="Q7">
        <f t="shared" si="5"/>
        <v>97.052999999999969</v>
      </c>
      <c r="R7">
        <f t="shared" si="6"/>
        <v>64.444999999999993</v>
      </c>
      <c r="S7">
        <f t="shared" si="7"/>
        <v>161.49799999999996</v>
      </c>
    </row>
    <row r="8" spans="1:19" x14ac:dyDescent="0.55000000000000004">
      <c r="A8">
        <f t="shared" si="8"/>
        <v>1993</v>
      </c>
      <c r="B8">
        <v>4185.6210000000001</v>
      </c>
      <c r="C8">
        <v>10705.007</v>
      </c>
      <c r="D8">
        <v>2413.2350000000001</v>
      </c>
      <c r="E8">
        <v>780.71199999999999</v>
      </c>
      <c r="F8">
        <f t="shared" si="0"/>
        <v>484.1880000000001</v>
      </c>
      <c r="G8">
        <v>1264.9000000000001</v>
      </c>
      <c r="H8">
        <v>429.18</v>
      </c>
      <c r="I8">
        <v>343.61500000000001</v>
      </c>
      <c r="J8">
        <v>68.242000000000004</v>
      </c>
      <c r="K8">
        <v>127.402</v>
      </c>
      <c r="L8">
        <f t="shared" si="1"/>
        <v>101.50500000000001</v>
      </c>
      <c r="M8">
        <v>228.90700000000001</v>
      </c>
      <c r="N8">
        <f t="shared" si="2"/>
        <v>340.34899999999988</v>
      </c>
      <c r="O8">
        <f t="shared" si="3"/>
        <v>209.99900000000002</v>
      </c>
      <c r="P8">
        <f t="shared" si="4"/>
        <v>55.336000000000055</v>
      </c>
      <c r="Q8">
        <f t="shared" si="5"/>
        <v>100.57599999999998</v>
      </c>
      <c r="R8">
        <f t="shared" si="6"/>
        <v>71.537000000000162</v>
      </c>
      <c r="S8">
        <f t="shared" si="7"/>
        <v>172.11300000000014</v>
      </c>
    </row>
    <row r="9" spans="1:19" x14ac:dyDescent="0.55000000000000004">
      <c r="A9">
        <f t="shared" si="8"/>
        <v>1994</v>
      </c>
      <c r="B9">
        <v>4274.4520000000002</v>
      </c>
      <c r="C9">
        <v>10838.623</v>
      </c>
      <c r="D9">
        <v>2426.1410000000001</v>
      </c>
      <c r="E9">
        <v>807.53800000000001</v>
      </c>
      <c r="F9">
        <f t="shared" si="0"/>
        <v>514.15599999999995</v>
      </c>
      <c r="G9">
        <v>1321.694</v>
      </c>
      <c r="H9">
        <v>469.31</v>
      </c>
      <c r="I9">
        <v>344.32799999999997</v>
      </c>
      <c r="J9">
        <v>71.89</v>
      </c>
      <c r="K9">
        <v>127.42100000000001</v>
      </c>
      <c r="L9">
        <f t="shared" si="1"/>
        <v>108.72599999999998</v>
      </c>
      <c r="M9">
        <v>236.14699999999999</v>
      </c>
      <c r="N9">
        <f t="shared" si="2"/>
        <v>349.58400000000034</v>
      </c>
      <c r="O9">
        <f t="shared" si="3"/>
        <v>204.79899999999952</v>
      </c>
      <c r="P9">
        <f t="shared" si="4"/>
        <v>51.060000000000073</v>
      </c>
      <c r="Q9">
        <f t="shared" si="5"/>
        <v>100.753</v>
      </c>
      <c r="R9">
        <f t="shared" si="6"/>
        <v>77.355000000000004</v>
      </c>
      <c r="S9">
        <f t="shared" si="7"/>
        <v>178.108</v>
      </c>
    </row>
    <row r="10" spans="1:19" x14ac:dyDescent="0.55000000000000004">
      <c r="A10">
        <f t="shared" si="8"/>
        <v>1995</v>
      </c>
      <c r="B10">
        <v>4394.1779999999999</v>
      </c>
      <c r="C10">
        <v>10978.152</v>
      </c>
      <c r="D10">
        <v>2446.971</v>
      </c>
      <c r="E10">
        <v>834.20600000000002</v>
      </c>
      <c r="F10">
        <f t="shared" si="0"/>
        <v>545.52699999999993</v>
      </c>
      <c r="G10">
        <v>1379.7329999999999</v>
      </c>
      <c r="H10">
        <v>506.029</v>
      </c>
      <c r="I10">
        <v>365.36500000000001</v>
      </c>
      <c r="J10">
        <v>86.688000000000002</v>
      </c>
      <c r="K10">
        <v>134.49299999999999</v>
      </c>
      <c r="L10">
        <f t="shared" si="1"/>
        <v>117.44200000000001</v>
      </c>
      <c r="M10">
        <v>251.935</v>
      </c>
      <c r="N10">
        <f t="shared" si="2"/>
        <v>364.89799999999968</v>
      </c>
      <c r="O10">
        <f t="shared" si="3"/>
        <v>206.32799999999975</v>
      </c>
      <c r="P10">
        <f t="shared" si="4"/>
        <v>59.642000000000181</v>
      </c>
      <c r="Q10">
        <f t="shared" si="5"/>
        <v>101.95700000000005</v>
      </c>
      <c r="R10">
        <f t="shared" si="6"/>
        <v>81.443999999999846</v>
      </c>
      <c r="S10">
        <f t="shared" si="7"/>
        <v>183.4009999999999</v>
      </c>
    </row>
    <row r="11" spans="1:19" x14ac:dyDescent="0.55000000000000004">
      <c r="A11">
        <f t="shared" si="8"/>
        <v>1996</v>
      </c>
      <c r="B11">
        <v>4535.3090000000002</v>
      </c>
      <c r="C11">
        <v>11137.189</v>
      </c>
      <c r="D11">
        <v>2474.0169999999998</v>
      </c>
      <c r="E11">
        <v>866.74199999999996</v>
      </c>
      <c r="F11">
        <f t="shared" si="0"/>
        <v>581.52500000000009</v>
      </c>
      <c r="G11">
        <v>1448.2670000000001</v>
      </c>
      <c r="H11">
        <v>531.91200000000003</v>
      </c>
      <c r="I11">
        <v>392.863</v>
      </c>
      <c r="J11">
        <v>87.052000000000007</v>
      </c>
      <c r="K11">
        <v>146.559</v>
      </c>
      <c r="L11">
        <f t="shared" si="1"/>
        <v>131.54800000000003</v>
      </c>
      <c r="M11">
        <v>278.10700000000003</v>
      </c>
      <c r="N11">
        <f t="shared" si="2"/>
        <v>373.12099999999987</v>
      </c>
      <c r="O11">
        <f t="shared" si="3"/>
        <v>212.48000000000019</v>
      </c>
      <c r="P11">
        <f t="shared" si="4"/>
        <v>59.081000000000003</v>
      </c>
      <c r="Q11">
        <f t="shared" si="5"/>
        <v>108.00799999999995</v>
      </c>
      <c r="R11">
        <f t="shared" si="6"/>
        <v>84.43700000000004</v>
      </c>
      <c r="S11">
        <f t="shared" si="7"/>
        <v>192.44499999999999</v>
      </c>
    </row>
    <row r="12" spans="1:19" x14ac:dyDescent="0.55000000000000004">
      <c r="A12">
        <f t="shared" si="8"/>
        <v>1997</v>
      </c>
      <c r="B12">
        <v>4694.1000000000004</v>
      </c>
      <c r="C12">
        <v>11317.572</v>
      </c>
      <c r="D12">
        <v>2501.9879999999998</v>
      </c>
      <c r="E12">
        <v>905.29300000000001</v>
      </c>
      <c r="F12">
        <f t="shared" si="0"/>
        <v>628.63600000000008</v>
      </c>
      <c r="G12">
        <v>1533.9290000000001</v>
      </c>
      <c r="H12">
        <v>565.32500000000005</v>
      </c>
      <c r="I12">
        <v>417.31900000000002</v>
      </c>
      <c r="J12">
        <v>91.38</v>
      </c>
      <c r="K12">
        <v>154.98400000000001</v>
      </c>
      <c r="L12">
        <f t="shared" si="1"/>
        <v>154.53399999999996</v>
      </c>
      <c r="M12">
        <v>309.51799999999997</v>
      </c>
      <c r="N12">
        <f t="shared" si="2"/>
        <v>378.46700000000078</v>
      </c>
      <c r="O12">
        <f t="shared" si="3"/>
        <v>223.14400000000074</v>
      </c>
      <c r="P12">
        <f t="shared" si="4"/>
        <v>63.831999999999766</v>
      </c>
      <c r="Q12">
        <f t="shared" si="5"/>
        <v>113.47499999999999</v>
      </c>
      <c r="R12">
        <f t="shared" si="6"/>
        <v>94.317000000000093</v>
      </c>
      <c r="S12">
        <f t="shared" si="7"/>
        <v>207.79200000000009</v>
      </c>
    </row>
    <row r="13" spans="1:19" x14ac:dyDescent="0.55000000000000004">
      <c r="A13">
        <f t="shared" si="8"/>
        <v>1998</v>
      </c>
      <c r="B13">
        <v>4880.9579999999996</v>
      </c>
      <c r="C13">
        <v>11511.746999999999</v>
      </c>
      <c r="D13">
        <v>2529.5360000000001</v>
      </c>
      <c r="E13">
        <v>946.80200000000002</v>
      </c>
      <c r="F13">
        <f t="shared" si="0"/>
        <v>688.85299999999995</v>
      </c>
      <c r="G13">
        <v>1635.655</v>
      </c>
      <c r="H13">
        <v>616.14400000000001</v>
      </c>
      <c r="I13">
        <v>429.67</v>
      </c>
      <c r="J13">
        <v>89.102000000000004</v>
      </c>
      <c r="K13">
        <v>162.35400000000001</v>
      </c>
      <c r="L13">
        <f t="shared" si="1"/>
        <v>176.96399999999997</v>
      </c>
      <c r="M13">
        <v>339.31799999999998</v>
      </c>
      <c r="N13">
        <f t="shared" si="2"/>
        <v>395.33499999999981</v>
      </c>
      <c r="O13">
        <f t="shared" si="3"/>
        <v>237.49399999999872</v>
      </c>
      <c r="P13">
        <f t="shared" si="4"/>
        <v>58.766000000000219</v>
      </c>
      <c r="Q13">
        <f t="shared" si="5"/>
        <v>117.38399999999999</v>
      </c>
      <c r="R13">
        <f t="shared" si="6"/>
        <v>103.00000000000003</v>
      </c>
      <c r="S13">
        <f t="shared" si="7"/>
        <v>220.38400000000001</v>
      </c>
    </row>
    <row r="14" spans="1:19" x14ac:dyDescent="0.55000000000000004">
      <c r="A14">
        <f t="shared" si="8"/>
        <v>1999</v>
      </c>
      <c r="B14">
        <v>5101.7669999999998</v>
      </c>
      <c r="C14">
        <v>11703.923000000001</v>
      </c>
      <c r="D14">
        <v>2559.8719999999998</v>
      </c>
      <c r="E14">
        <v>991.77200000000005</v>
      </c>
      <c r="F14">
        <f t="shared" si="0"/>
        <v>762.81699999999989</v>
      </c>
      <c r="G14">
        <v>1754.5889999999999</v>
      </c>
      <c r="H14">
        <v>666.44500000000005</v>
      </c>
      <c r="I14">
        <v>422.33499999999998</v>
      </c>
      <c r="J14">
        <v>99.938999999999993</v>
      </c>
      <c r="K14">
        <v>172.68899999999999</v>
      </c>
      <c r="L14">
        <f t="shared" si="1"/>
        <v>207.77200000000002</v>
      </c>
      <c r="M14">
        <v>380.46100000000001</v>
      </c>
      <c r="N14">
        <f t="shared" si="2"/>
        <v>421.63899999999956</v>
      </c>
      <c r="O14">
        <f t="shared" si="3"/>
        <v>218.17700000000053</v>
      </c>
      <c r="P14">
        <f t="shared" si="4"/>
        <v>65.301999999999822</v>
      </c>
      <c r="Q14">
        <f t="shared" si="5"/>
        <v>123.77500000000012</v>
      </c>
      <c r="R14">
        <f t="shared" si="6"/>
        <v>122.58699999999973</v>
      </c>
      <c r="S14">
        <f t="shared" si="7"/>
        <v>246.36199999999985</v>
      </c>
    </row>
    <row r="15" spans="1:19" x14ac:dyDescent="0.55000000000000004">
      <c r="A15">
        <f t="shared" si="8"/>
        <v>2000</v>
      </c>
      <c r="B15">
        <v>5346.5730000000003</v>
      </c>
      <c r="C15">
        <v>11908.081</v>
      </c>
      <c r="D15">
        <v>2594.509</v>
      </c>
      <c r="E15">
        <v>1040.6859999999999</v>
      </c>
      <c r="F15">
        <f t="shared" si="0"/>
        <v>848.00200000000018</v>
      </c>
      <c r="G15">
        <v>1888.6880000000001</v>
      </c>
      <c r="H15">
        <v>703.64099999999996</v>
      </c>
      <c r="I15">
        <v>462.04700000000003</v>
      </c>
      <c r="J15">
        <v>100.878</v>
      </c>
      <c r="K15">
        <v>181.85400000000001</v>
      </c>
      <c r="L15">
        <f t="shared" si="1"/>
        <v>232.62999999999997</v>
      </c>
      <c r="M15">
        <v>414.48399999999998</v>
      </c>
      <c r="N15">
        <f t="shared" si="2"/>
        <v>483.4770000000002</v>
      </c>
      <c r="O15">
        <f t="shared" si="3"/>
        <v>241.25999999999976</v>
      </c>
      <c r="P15">
        <f t="shared" si="4"/>
        <v>69.432999999999836</v>
      </c>
      <c r="Q15">
        <f t="shared" si="5"/>
        <v>133.42000000000004</v>
      </c>
      <c r="R15">
        <f t="shared" si="6"/>
        <v>155.398</v>
      </c>
      <c r="S15">
        <f t="shared" si="7"/>
        <v>288.81800000000004</v>
      </c>
    </row>
    <row r="16" spans="1:19" x14ac:dyDescent="0.55000000000000004">
      <c r="A16">
        <f t="shared" si="8"/>
        <v>2001</v>
      </c>
      <c r="B16">
        <v>5566.7370000000001</v>
      </c>
      <c r="C16">
        <v>12128.868</v>
      </c>
      <c r="D16">
        <v>2625.9540000000002</v>
      </c>
      <c r="E16">
        <v>1089.1199999999999</v>
      </c>
      <c r="F16">
        <f t="shared" si="0"/>
        <v>925.23400000000015</v>
      </c>
      <c r="G16">
        <v>2014.354</v>
      </c>
      <c r="H16">
        <v>661.54700000000003</v>
      </c>
      <c r="I16">
        <v>463.70600000000002</v>
      </c>
      <c r="J16">
        <v>96.94</v>
      </c>
      <c r="K16">
        <v>184.155</v>
      </c>
      <c r="L16">
        <f t="shared" si="1"/>
        <v>231.41299999999998</v>
      </c>
      <c r="M16">
        <v>415.56799999999998</v>
      </c>
      <c r="N16">
        <f t="shared" si="2"/>
        <v>505.596</v>
      </c>
      <c r="O16">
        <f t="shared" si="3"/>
        <v>295.06299999999999</v>
      </c>
      <c r="P16">
        <f t="shared" si="4"/>
        <v>66.357000000000369</v>
      </c>
      <c r="Q16">
        <f t="shared" si="5"/>
        <v>143.85399999999984</v>
      </c>
      <c r="R16">
        <f t="shared" si="6"/>
        <v>174.92800000000031</v>
      </c>
      <c r="S16">
        <f t="shared" si="7"/>
        <v>318.78200000000015</v>
      </c>
    </row>
    <row r="17" spans="1:19" x14ac:dyDescent="0.55000000000000004">
      <c r="A17">
        <f t="shared" si="8"/>
        <v>2002</v>
      </c>
      <c r="B17">
        <v>5722.6880000000001</v>
      </c>
      <c r="C17">
        <v>12297.511</v>
      </c>
      <c r="D17">
        <v>2656.5369999999998</v>
      </c>
      <c r="E17">
        <v>1129.421</v>
      </c>
      <c r="F17">
        <f t="shared" si="0"/>
        <v>981.71899999999982</v>
      </c>
      <c r="G17">
        <v>2111.14</v>
      </c>
      <c r="H17">
        <v>618.41499999999996</v>
      </c>
      <c r="I17">
        <v>365.90300000000002</v>
      </c>
      <c r="J17">
        <v>102.575</v>
      </c>
      <c r="K17">
        <v>178.17099999999999</v>
      </c>
      <c r="L17">
        <f t="shared" si="1"/>
        <v>230.42500000000001</v>
      </c>
      <c r="M17">
        <v>408.596</v>
      </c>
      <c r="N17">
        <f t="shared" si="2"/>
        <v>497.55299999999988</v>
      </c>
      <c r="O17">
        <f t="shared" si="3"/>
        <v>258.02400000000102</v>
      </c>
      <c r="P17">
        <f t="shared" si="4"/>
        <v>66.220999999999734</v>
      </c>
      <c r="Q17">
        <f t="shared" si="5"/>
        <v>147.12600000000015</v>
      </c>
      <c r="R17">
        <f t="shared" si="6"/>
        <v>183.56699999999961</v>
      </c>
      <c r="S17">
        <f t="shared" si="7"/>
        <v>330.69299999999976</v>
      </c>
    </row>
    <row r="18" spans="1:19" x14ac:dyDescent="0.55000000000000004">
      <c r="A18">
        <f t="shared" si="8"/>
        <v>2003</v>
      </c>
      <c r="B18">
        <v>5843.55</v>
      </c>
      <c r="C18">
        <v>12405.39</v>
      </c>
      <c r="D18">
        <v>2692.8910000000001</v>
      </c>
      <c r="E18">
        <v>1160.4659999999999</v>
      </c>
      <c r="F18">
        <f t="shared" si="0"/>
        <v>1028.5770000000002</v>
      </c>
      <c r="G18">
        <v>2189.0430000000001</v>
      </c>
      <c r="H18">
        <v>628.505</v>
      </c>
      <c r="I18">
        <v>349.36399999999998</v>
      </c>
      <c r="J18">
        <v>112.023</v>
      </c>
      <c r="K18">
        <v>176.654</v>
      </c>
      <c r="L18">
        <f t="shared" si="1"/>
        <v>245.37299999999999</v>
      </c>
      <c r="M18">
        <v>422.02699999999999</v>
      </c>
      <c r="N18">
        <f t="shared" si="2"/>
        <v>493.50399999999979</v>
      </c>
      <c r="O18">
        <f t="shared" si="3"/>
        <v>252.26499999999982</v>
      </c>
      <c r="P18">
        <f t="shared" si="4"/>
        <v>70.03700000000012</v>
      </c>
      <c r="Q18">
        <f t="shared" si="5"/>
        <v>149.67399999999998</v>
      </c>
      <c r="R18">
        <f t="shared" si="6"/>
        <v>195.89499999999992</v>
      </c>
      <c r="S18">
        <f t="shared" si="7"/>
        <v>345.5689999999999</v>
      </c>
    </row>
    <row r="19" spans="1:19" x14ac:dyDescent="0.55000000000000004">
      <c r="A19">
        <f t="shared" si="8"/>
        <v>2004</v>
      </c>
      <c r="B19">
        <v>5978.5510000000004</v>
      </c>
      <c r="C19">
        <v>12502.489</v>
      </c>
      <c r="D19">
        <v>2734.877</v>
      </c>
      <c r="E19">
        <v>1187.4459999999999</v>
      </c>
      <c r="F19">
        <f t="shared" si="0"/>
        <v>1078.0550000000003</v>
      </c>
      <c r="G19">
        <v>2265.5010000000002</v>
      </c>
      <c r="H19">
        <v>679.625</v>
      </c>
      <c r="I19">
        <v>350.39100000000002</v>
      </c>
      <c r="J19">
        <v>117.667</v>
      </c>
      <c r="K19">
        <v>178.572</v>
      </c>
      <c r="L19">
        <f t="shared" si="1"/>
        <v>263.67500000000001</v>
      </c>
      <c r="M19">
        <v>442.24700000000001</v>
      </c>
      <c r="N19">
        <f t="shared" si="2"/>
        <v>502.75700000000052</v>
      </c>
      <c r="O19">
        <f t="shared" si="3"/>
        <v>249.5000000000004</v>
      </c>
      <c r="P19">
        <f t="shared" si="4"/>
        <v>72.752000000000038</v>
      </c>
      <c r="Q19">
        <f t="shared" si="5"/>
        <v>148.56099999999981</v>
      </c>
      <c r="R19">
        <f t="shared" si="6"/>
        <v>208.91800000000063</v>
      </c>
      <c r="S19">
        <f t="shared" si="7"/>
        <v>357.47900000000044</v>
      </c>
    </row>
    <row r="20" spans="1:19" x14ac:dyDescent="0.55000000000000004">
      <c r="A20">
        <f t="shared" si="8"/>
        <v>2005</v>
      </c>
      <c r="B20">
        <v>6155.4189999999999</v>
      </c>
      <c r="C20">
        <v>12603.38</v>
      </c>
      <c r="D20">
        <v>2779.7919999999999</v>
      </c>
      <c r="E20">
        <v>1217.4570000000001</v>
      </c>
      <c r="F20">
        <f t="shared" si="0"/>
        <v>1132.8119999999997</v>
      </c>
      <c r="G20">
        <v>2350.2689999999998</v>
      </c>
      <c r="H20">
        <v>745.63199999999995</v>
      </c>
      <c r="I20">
        <v>362.59899999999999</v>
      </c>
      <c r="J20">
        <v>122.057</v>
      </c>
      <c r="K20">
        <v>189.768</v>
      </c>
      <c r="L20">
        <f t="shared" si="1"/>
        <v>282.45399999999995</v>
      </c>
      <c r="M20">
        <v>472.22199999999998</v>
      </c>
      <c r="N20">
        <f t="shared" si="2"/>
        <v>525.57900000000006</v>
      </c>
      <c r="O20">
        <f t="shared" si="3"/>
        <v>243.76599999999945</v>
      </c>
      <c r="P20">
        <f t="shared" si="4"/>
        <v>81.702999999999733</v>
      </c>
      <c r="Q20">
        <f t="shared" si="5"/>
        <v>151.25100000000018</v>
      </c>
      <c r="R20">
        <f t="shared" si="6"/>
        <v>226.82699999999954</v>
      </c>
      <c r="S20">
        <f t="shared" si="7"/>
        <v>378.07799999999975</v>
      </c>
    </row>
    <row r="21" spans="1:19" x14ac:dyDescent="0.55000000000000004">
      <c r="A21">
        <f t="shared" si="8"/>
        <v>2006</v>
      </c>
      <c r="B21">
        <v>6375.4719999999998</v>
      </c>
      <c r="C21">
        <v>12722.213</v>
      </c>
      <c r="D21">
        <v>2820.1460000000002</v>
      </c>
      <c r="E21">
        <v>1255.9739999999999</v>
      </c>
      <c r="F21">
        <f t="shared" si="0"/>
        <v>1188.4390000000001</v>
      </c>
      <c r="G21">
        <v>2444.413</v>
      </c>
      <c r="H21">
        <v>803.327</v>
      </c>
      <c r="I21">
        <v>391.69200000000001</v>
      </c>
      <c r="J21">
        <v>113.032</v>
      </c>
      <c r="K21">
        <v>202.31899999999999</v>
      </c>
      <c r="L21">
        <f t="shared" si="1"/>
        <v>291.98300000000006</v>
      </c>
      <c r="M21">
        <v>494.30200000000002</v>
      </c>
      <c r="N21">
        <f t="shared" si="2"/>
        <v>565.17799999999966</v>
      </c>
      <c r="O21">
        <f t="shared" si="3"/>
        <v>233.46200000000044</v>
      </c>
      <c r="P21">
        <f t="shared" si="4"/>
        <v>84.285000000000153</v>
      </c>
      <c r="Q21">
        <f t="shared" si="5"/>
        <v>154.97799999999987</v>
      </c>
      <c r="R21">
        <f t="shared" si="6"/>
        <v>238.50900000000013</v>
      </c>
      <c r="S21">
        <f t="shared" si="7"/>
        <v>393.48699999999997</v>
      </c>
    </row>
    <row r="22" spans="1:19" x14ac:dyDescent="0.55000000000000004">
      <c r="A22">
        <f t="shared" si="8"/>
        <v>2007</v>
      </c>
      <c r="B22">
        <v>6613.6210000000001</v>
      </c>
      <c r="C22">
        <v>12880.442999999999</v>
      </c>
      <c r="D22">
        <v>2848.893</v>
      </c>
      <c r="E22">
        <v>1303.3150000000001</v>
      </c>
      <c r="F22">
        <f t="shared" si="0"/>
        <v>1241.913</v>
      </c>
      <c r="G22">
        <v>2545.2280000000001</v>
      </c>
      <c r="H22">
        <v>824.82500000000005</v>
      </c>
      <c r="I22">
        <v>446.78399999999999</v>
      </c>
      <c r="J22">
        <v>103.398</v>
      </c>
      <c r="K22">
        <v>215.017</v>
      </c>
      <c r="L22">
        <f t="shared" si="1"/>
        <v>303.53900000000004</v>
      </c>
      <c r="M22">
        <v>518.55600000000004</v>
      </c>
      <c r="N22">
        <f t="shared" si="2"/>
        <v>628.83900000000017</v>
      </c>
      <c r="O22">
        <f t="shared" si="3"/>
        <v>249.59199999999908</v>
      </c>
      <c r="P22">
        <f t="shared" si="4"/>
        <v>89.149999999999949</v>
      </c>
      <c r="Q22">
        <f t="shared" si="5"/>
        <v>161.89000000000004</v>
      </c>
      <c r="R22">
        <f t="shared" si="6"/>
        <v>252.37099999999992</v>
      </c>
      <c r="S22">
        <f t="shared" si="7"/>
        <v>414.26099999999997</v>
      </c>
    </row>
    <row r="23" spans="1:19" x14ac:dyDescent="0.55000000000000004">
      <c r="A23">
        <f t="shared" si="8"/>
        <v>2008</v>
      </c>
      <c r="B23">
        <v>6809.607</v>
      </c>
      <c r="C23">
        <v>13077.635</v>
      </c>
      <c r="D23">
        <v>2863.1410000000001</v>
      </c>
      <c r="E23">
        <v>1356.442</v>
      </c>
      <c r="F23">
        <f t="shared" si="0"/>
        <v>1293.0810000000001</v>
      </c>
      <c r="G23">
        <v>2649.5230000000001</v>
      </c>
      <c r="H23">
        <v>765.71400000000006</v>
      </c>
      <c r="I23">
        <v>475.18200000000002</v>
      </c>
      <c r="J23">
        <v>88.376999999999995</v>
      </c>
      <c r="K23">
        <v>222.36500000000001</v>
      </c>
      <c r="L23">
        <f t="shared" si="1"/>
        <v>311.34000000000003</v>
      </c>
      <c r="M23">
        <v>533.70500000000004</v>
      </c>
      <c r="N23">
        <f t="shared" si="2"/>
        <v>713.41500000000008</v>
      </c>
      <c r="O23">
        <f t="shared" si="3"/>
        <v>316.18600000000083</v>
      </c>
      <c r="P23">
        <f t="shared" si="4"/>
        <v>92.19200000000005</v>
      </c>
      <c r="Q23">
        <f t="shared" si="5"/>
        <v>174.21800000000007</v>
      </c>
      <c r="R23">
        <f t="shared" si="6"/>
        <v>269.24500000000023</v>
      </c>
      <c r="S23">
        <f t="shared" si="7"/>
        <v>443.46300000000031</v>
      </c>
    </row>
    <row r="24" spans="1:19" x14ac:dyDescent="0.55000000000000004">
      <c r="A24">
        <f t="shared" si="8"/>
        <v>2009</v>
      </c>
      <c r="B24">
        <v>6861.9059999999999</v>
      </c>
      <c r="C24">
        <v>13236.630999999999</v>
      </c>
      <c r="D24">
        <v>2859.326</v>
      </c>
      <c r="E24">
        <v>1404.5889999999999</v>
      </c>
      <c r="F24">
        <f t="shared" si="0"/>
        <v>1335.1759999999999</v>
      </c>
      <c r="G24">
        <v>2739.7649999999999</v>
      </c>
      <c r="H24">
        <v>580.37400000000002</v>
      </c>
      <c r="I24">
        <v>376.23599999999999</v>
      </c>
      <c r="J24">
        <v>71.194999999999993</v>
      </c>
      <c r="K24">
        <v>213.95</v>
      </c>
      <c r="L24">
        <f t="shared" si="1"/>
        <v>309.20999999999998</v>
      </c>
      <c r="M24">
        <v>523.16</v>
      </c>
      <c r="N24">
        <f t="shared" si="2"/>
        <v>585.93899999999962</v>
      </c>
      <c r="O24">
        <f t="shared" si="3"/>
        <v>299.97699999999998</v>
      </c>
      <c r="P24">
        <f t="shared" si="4"/>
        <v>89.318999999999789</v>
      </c>
      <c r="Q24">
        <f t="shared" si="5"/>
        <v>171.96299999999991</v>
      </c>
      <c r="R24">
        <f t="shared" si="6"/>
        <v>276.34399999999999</v>
      </c>
      <c r="S24">
        <f t="shared" si="7"/>
        <v>448.3069999999999</v>
      </c>
    </row>
    <row r="25" spans="1:19" x14ac:dyDescent="0.55000000000000004">
      <c r="A25">
        <f t="shared" si="8"/>
        <v>2010</v>
      </c>
      <c r="B25">
        <v>6856.3410000000003</v>
      </c>
      <c r="C25">
        <v>13312.89</v>
      </c>
      <c r="D25">
        <v>2841.2020000000002</v>
      </c>
      <c r="E25">
        <v>1446.576</v>
      </c>
      <c r="F25">
        <f t="shared" si="0"/>
        <v>1368.0419999999999</v>
      </c>
      <c r="G25">
        <v>2814.6179999999999</v>
      </c>
      <c r="H25">
        <v>677.09299999999996</v>
      </c>
      <c r="I25">
        <v>314.92500000000001</v>
      </c>
      <c r="J25">
        <v>63.087000000000003</v>
      </c>
      <c r="K25">
        <v>218.13300000000001</v>
      </c>
      <c r="L25">
        <f t="shared" si="1"/>
        <v>315.19999999999993</v>
      </c>
      <c r="M25">
        <v>533.33299999999997</v>
      </c>
      <c r="N25">
        <f t="shared" si="2"/>
        <v>600.00000000000011</v>
      </c>
      <c r="O25">
        <f t="shared" si="3"/>
        <v>264.45200000000006</v>
      </c>
      <c r="P25">
        <f t="shared" si="4"/>
        <v>85.686000000000163</v>
      </c>
      <c r="Q25">
        <f t="shared" si="5"/>
        <v>176.82699999999997</v>
      </c>
      <c r="R25">
        <f t="shared" si="6"/>
        <v>279.58099999999979</v>
      </c>
      <c r="S25">
        <f t="shared" si="7"/>
        <v>456.40799999999979</v>
      </c>
    </row>
    <row r="26" spans="1:19" x14ac:dyDescent="0.55000000000000004">
      <c r="A26">
        <f t="shared" si="8"/>
        <v>2011</v>
      </c>
      <c r="B26">
        <v>6933.4340000000002</v>
      </c>
      <c r="C26">
        <v>13363.362999999999</v>
      </c>
      <c r="D26">
        <v>2818.6030000000001</v>
      </c>
      <c r="E26">
        <v>1487.8820000000001</v>
      </c>
      <c r="F26">
        <f t="shared" si="0"/>
        <v>1403.6610000000001</v>
      </c>
      <c r="G26">
        <v>2891.5430000000001</v>
      </c>
      <c r="H26">
        <v>764.47699999999998</v>
      </c>
      <c r="I26">
        <v>328.79599999999999</v>
      </c>
      <c r="J26">
        <v>65.007999999999996</v>
      </c>
      <c r="K26">
        <v>219.18600000000001</v>
      </c>
      <c r="L26">
        <f t="shared" si="1"/>
        <v>332.56899999999996</v>
      </c>
      <c r="M26">
        <v>551.755</v>
      </c>
      <c r="N26">
        <f t="shared" si="2"/>
        <v>613.19800000000043</v>
      </c>
      <c r="O26">
        <f t="shared" si="3"/>
        <v>252.21199999999925</v>
      </c>
      <c r="P26">
        <f t="shared" si="4"/>
        <v>83.524000000000072</v>
      </c>
      <c r="Q26">
        <f t="shared" si="5"/>
        <v>177.52500000000018</v>
      </c>
      <c r="R26">
        <f t="shared" si="6"/>
        <v>287.83799999999997</v>
      </c>
      <c r="S26">
        <f t="shared" si="7"/>
        <v>465.36300000000017</v>
      </c>
    </row>
    <row r="27" spans="1:19" x14ac:dyDescent="0.55000000000000004">
      <c r="A27">
        <f t="shared" si="8"/>
        <v>2012</v>
      </c>
      <c r="B27">
        <v>7084.7129999999997</v>
      </c>
      <c r="C27">
        <v>13439.947</v>
      </c>
      <c r="D27">
        <v>2800.087</v>
      </c>
      <c r="E27">
        <v>1529.5429999999999</v>
      </c>
      <c r="F27">
        <f t="shared" si="0"/>
        <v>1448.3920000000001</v>
      </c>
      <c r="G27">
        <v>2977.9349999999999</v>
      </c>
      <c r="H27">
        <v>849.42600000000004</v>
      </c>
      <c r="I27">
        <v>371.14299999999997</v>
      </c>
      <c r="J27">
        <v>73.605999999999995</v>
      </c>
      <c r="K27">
        <v>225.02099999999999</v>
      </c>
      <c r="L27">
        <f t="shared" si="1"/>
        <v>349.49400000000003</v>
      </c>
      <c r="M27">
        <v>574.51499999999999</v>
      </c>
      <c r="N27">
        <f t="shared" si="2"/>
        <v>654.38399999999967</v>
      </c>
      <c r="O27">
        <f t="shared" si="3"/>
        <v>268.2180000000007</v>
      </c>
      <c r="P27">
        <f t="shared" si="4"/>
        <v>84.560999999999922</v>
      </c>
      <c r="Q27">
        <f t="shared" si="5"/>
        <v>179.4959999999999</v>
      </c>
      <c r="R27">
        <f t="shared" si="6"/>
        <v>300.92199999999991</v>
      </c>
      <c r="S27">
        <f t="shared" si="7"/>
        <v>480.41799999999978</v>
      </c>
    </row>
    <row r="28" spans="1:19" x14ac:dyDescent="0.55000000000000004">
      <c r="A28">
        <f t="shared" si="8"/>
        <v>2013</v>
      </c>
      <c r="B28">
        <v>7279.7550000000001</v>
      </c>
      <c r="C28">
        <v>13542.871999999999</v>
      </c>
      <c r="D28">
        <v>2789.1320000000001</v>
      </c>
      <c r="E28">
        <v>1575.068</v>
      </c>
      <c r="F28">
        <f t="shared" si="0"/>
        <v>1496.9640000000002</v>
      </c>
      <c r="G28">
        <v>3072.0320000000002</v>
      </c>
      <c r="H28">
        <v>881.55399999999997</v>
      </c>
      <c r="I28">
        <v>385.97300000000001</v>
      </c>
      <c r="J28">
        <v>82.215000000000003</v>
      </c>
      <c r="K28">
        <v>233.12700000000001</v>
      </c>
      <c r="L28">
        <f t="shared" si="1"/>
        <v>359.72999999999996</v>
      </c>
      <c r="M28">
        <v>592.85699999999997</v>
      </c>
      <c r="N28">
        <f t="shared" si="2"/>
        <v>657.71700000000044</v>
      </c>
      <c r="O28">
        <f t="shared" si="3"/>
        <v>253.82499999999897</v>
      </c>
      <c r="P28">
        <f t="shared" si="4"/>
        <v>86.897999999999996</v>
      </c>
      <c r="Q28">
        <f t="shared" si="5"/>
        <v>183.26900000000006</v>
      </c>
      <c r="R28">
        <f t="shared" si="6"/>
        <v>305.85300000000024</v>
      </c>
      <c r="S28">
        <f t="shared" si="7"/>
        <v>489.1220000000003</v>
      </c>
    </row>
    <row r="29" spans="1:19" x14ac:dyDescent="0.55000000000000004">
      <c r="A29">
        <f t="shared" si="8"/>
        <v>2014</v>
      </c>
      <c r="B29">
        <v>7503.5919999999996</v>
      </c>
      <c r="C29">
        <v>13675.02</v>
      </c>
      <c r="D29">
        <v>2784.4490000000001</v>
      </c>
      <c r="E29">
        <v>1624.9259999999999</v>
      </c>
      <c r="F29">
        <f t="shared" si="0"/>
        <v>1550.8409999999999</v>
      </c>
      <c r="G29">
        <v>3175.7669999999998</v>
      </c>
      <c r="H29">
        <v>941.28099999999995</v>
      </c>
      <c r="I29">
        <v>434.54500000000002</v>
      </c>
      <c r="J29">
        <v>88.067999999999998</v>
      </c>
      <c r="K29">
        <v>240.39</v>
      </c>
      <c r="L29">
        <f t="shared" si="1"/>
        <v>383.39400000000001</v>
      </c>
      <c r="M29">
        <v>623.78399999999999</v>
      </c>
      <c r="N29">
        <f t="shared" si="2"/>
        <v>689.07099999999991</v>
      </c>
      <c r="O29">
        <f t="shared" si="3"/>
        <v>284.89000000000118</v>
      </c>
      <c r="P29">
        <f t="shared" si="4"/>
        <v>86.062999999999889</v>
      </c>
      <c r="Q29">
        <f t="shared" si="5"/>
        <v>189.19199999999989</v>
      </c>
      <c r="R29">
        <f t="shared" si="6"/>
        <v>321.08799999999974</v>
      </c>
      <c r="S29">
        <f t="shared" si="7"/>
        <v>510.27999999999963</v>
      </c>
    </row>
    <row r="30" spans="1:19" x14ac:dyDescent="0.55000000000000004">
      <c r="A30">
        <f t="shared" si="8"/>
        <v>2015</v>
      </c>
      <c r="B30">
        <v>7755.8019999999997</v>
      </c>
      <c r="C30">
        <v>13824.674999999999</v>
      </c>
      <c r="D30">
        <v>2786.4540000000002</v>
      </c>
      <c r="E30">
        <v>1676.124</v>
      </c>
      <c r="F30">
        <f t="shared" si="0"/>
        <v>1613.1470000000002</v>
      </c>
      <c r="G30">
        <v>3289.2710000000002</v>
      </c>
      <c r="H30">
        <v>976.57899999999995</v>
      </c>
      <c r="I30">
        <v>426.47</v>
      </c>
      <c r="J30">
        <v>97.314999999999998</v>
      </c>
      <c r="K30">
        <v>243.857</v>
      </c>
      <c r="L30">
        <f t="shared" si="1"/>
        <v>405.12</v>
      </c>
      <c r="M30">
        <v>648.97699999999998</v>
      </c>
      <c r="N30">
        <f t="shared" si="2"/>
        <v>737.77699999999936</v>
      </c>
      <c r="O30">
        <f t="shared" si="3"/>
        <v>293.87099999999987</v>
      </c>
      <c r="P30">
        <f t="shared" si="4"/>
        <v>88.523000000000081</v>
      </c>
      <c r="Q30">
        <f t="shared" si="5"/>
        <v>187.07199999999992</v>
      </c>
      <c r="R30">
        <f t="shared" si="6"/>
        <v>336.61100000000022</v>
      </c>
      <c r="S30">
        <f t="shared" si="7"/>
        <v>523.68300000000011</v>
      </c>
    </row>
    <row r="31" spans="1:19" x14ac:dyDescent="0.55000000000000004">
      <c r="A31">
        <v>2016</v>
      </c>
      <c r="B31">
        <v>7994.6040000000003</v>
      </c>
      <c r="C31">
        <v>13957.273999999999</v>
      </c>
      <c r="D31">
        <v>2795.2460000000001</v>
      </c>
      <c r="E31">
        <v>1732.9090000000001</v>
      </c>
      <c r="F31">
        <f t="shared" si="0"/>
        <v>1681.6559999999999</v>
      </c>
      <c r="G31">
        <v>3414.5650000000001</v>
      </c>
      <c r="H31">
        <v>957.21500000000003</v>
      </c>
      <c r="I31">
        <v>406.041</v>
      </c>
      <c r="J31">
        <v>103.22199999999999</v>
      </c>
      <c r="K31">
        <v>260.88200000000001</v>
      </c>
      <c r="L31">
        <f t="shared" si="1"/>
        <v>430.39299999999997</v>
      </c>
      <c r="M31">
        <v>691.27499999999998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47"/>
  <sheetViews>
    <sheetView tabSelected="1" topLeftCell="A4" zoomScale="80" zoomScaleNormal="80" workbookViewId="0">
      <selection activeCell="D7" sqref="D7:K7"/>
    </sheetView>
  </sheetViews>
  <sheetFormatPr defaultRowHeight="14.4" x14ac:dyDescent="0.55000000000000004"/>
  <cols>
    <col min="1" max="1" width="24.578125" bestFit="1" customWidth="1"/>
    <col min="2" max="2" width="28.734375" bestFit="1" customWidth="1"/>
    <col min="4" max="4" width="41.3125" bestFit="1" customWidth="1"/>
    <col min="5" max="5" width="11.47265625" bestFit="1" customWidth="1"/>
    <col min="6" max="8" width="11.1015625" bestFit="1" customWidth="1"/>
    <col min="9" max="9" width="2.578125" customWidth="1"/>
    <col min="10" max="10" width="12.26171875" bestFit="1" customWidth="1"/>
    <col min="11" max="11" width="11.1015625" customWidth="1"/>
    <col min="12" max="12" width="8.83984375" hidden="1" customWidth="1"/>
  </cols>
  <sheetData>
    <row r="1" spans="1:12" hidden="1" x14ac:dyDescent="0.55000000000000004">
      <c r="E1">
        <v>0</v>
      </c>
      <c r="F1">
        <v>0</v>
      </c>
      <c r="G1">
        <v>0</v>
      </c>
      <c r="H1">
        <v>0</v>
      </c>
      <c r="J1">
        <v>9</v>
      </c>
      <c r="K1">
        <v>9</v>
      </c>
    </row>
    <row r="2" spans="1:12" hidden="1" x14ac:dyDescent="0.55000000000000004">
      <c r="E2">
        <v>0</v>
      </c>
      <c r="F2">
        <v>1</v>
      </c>
      <c r="G2">
        <v>9</v>
      </c>
      <c r="H2">
        <v>10</v>
      </c>
      <c r="J2">
        <v>1</v>
      </c>
      <c r="K2">
        <v>10</v>
      </c>
    </row>
    <row r="3" spans="1:12" hidden="1" x14ac:dyDescent="0.55000000000000004">
      <c r="E3">
        <v>0</v>
      </c>
      <c r="F3">
        <v>1</v>
      </c>
      <c r="G3">
        <v>0</v>
      </c>
      <c r="H3">
        <v>1</v>
      </c>
      <c r="J3">
        <v>2</v>
      </c>
      <c r="K3">
        <v>2</v>
      </c>
    </row>
    <row r="4" spans="1:12" x14ac:dyDescent="0.55000000000000004">
      <c r="B4" s="2" t="s">
        <v>157</v>
      </c>
      <c r="E4" s="78" t="s">
        <v>144</v>
      </c>
      <c r="F4" s="78"/>
      <c r="G4" s="78"/>
      <c r="H4" s="78"/>
      <c r="I4" s="14"/>
      <c r="J4" s="79" t="s">
        <v>97</v>
      </c>
      <c r="K4" s="79"/>
    </row>
    <row r="5" spans="1:12" ht="14.4" customHeight="1" x14ac:dyDescent="0.55000000000000004">
      <c r="A5" t="s">
        <v>158</v>
      </c>
      <c r="B5" s="74" t="s">
        <v>17</v>
      </c>
      <c r="E5" s="77" t="s">
        <v>171</v>
      </c>
      <c r="F5" s="77"/>
      <c r="G5" s="77" t="s">
        <v>170</v>
      </c>
      <c r="H5" s="77"/>
      <c r="I5" s="66"/>
      <c r="J5" s="77" t="s">
        <v>7</v>
      </c>
      <c r="K5" s="77" t="s">
        <v>179</v>
      </c>
    </row>
    <row r="6" spans="1:12" x14ac:dyDescent="0.55000000000000004">
      <c r="A6" t="s">
        <v>159</v>
      </c>
      <c r="B6" s="74" t="s">
        <v>59</v>
      </c>
      <c r="E6" s="11" t="s">
        <v>17</v>
      </c>
      <c r="F6" s="11" t="s">
        <v>91</v>
      </c>
      <c r="G6" s="11" t="s">
        <v>17</v>
      </c>
      <c r="H6" s="11" t="s">
        <v>91</v>
      </c>
      <c r="I6" s="11"/>
      <c r="J6" s="77"/>
      <c r="K6" s="77"/>
    </row>
    <row r="7" spans="1:12" x14ac:dyDescent="0.55000000000000004">
      <c r="A7" t="s">
        <v>160</v>
      </c>
      <c r="B7" s="74" t="s">
        <v>17</v>
      </c>
      <c r="D7" t="s">
        <v>161</v>
      </c>
      <c r="E7" s="6"/>
      <c r="F7" s="6"/>
      <c r="G7" s="6"/>
      <c r="H7" s="6"/>
      <c r="I7" s="6"/>
      <c r="J7" s="6"/>
      <c r="K7" s="6"/>
    </row>
    <row r="8" spans="1:12" x14ac:dyDescent="0.55000000000000004">
      <c r="D8" s="3" t="s">
        <v>0</v>
      </c>
      <c r="E8" s="68">
        <f t="shared" ref="E8:H12" ca="1" si="0">OFFSET(lambda_eq_0, E$3, $L9)</f>
        <v>0.8124025871246896</v>
      </c>
      <c r="F8" s="68">
        <f t="shared" ca="1" si="0"/>
        <v>0.8124025871246896</v>
      </c>
      <c r="G8" s="68">
        <f t="shared" ca="1" si="0"/>
        <v>0.8124025871246896</v>
      </c>
      <c r="H8" s="68">
        <f t="shared" ca="1" si="0"/>
        <v>0.8124025871246896</v>
      </c>
      <c r="I8" s="68"/>
      <c r="J8" s="68">
        <f t="shared" ref="J8:K12" ca="1" si="1">OFFSET(lambda_eq_0, J$3, $L9)</f>
        <v>0.81042096493475191</v>
      </c>
      <c r="K8" s="68">
        <f t="shared" ca="1" si="1"/>
        <v>0.81042096493475191</v>
      </c>
    </row>
    <row r="9" spans="1:12" x14ac:dyDescent="0.55000000000000004">
      <c r="D9" s="3" t="s">
        <v>1</v>
      </c>
      <c r="E9" s="68">
        <f t="shared" ca="1" si="0"/>
        <v>0.33802010663104226</v>
      </c>
      <c r="F9" s="68">
        <f t="shared" ca="1" si="0"/>
        <v>0.33802010663104226</v>
      </c>
      <c r="G9" s="68">
        <f t="shared" ca="1" si="0"/>
        <v>0.33802010663104226</v>
      </c>
      <c r="H9" s="68">
        <f t="shared" ca="1" si="0"/>
        <v>0.33802010663104226</v>
      </c>
      <c r="I9" s="68"/>
      <c r="J9" s="68">
        <f t="shared" ca="1" si="1"/>
        <v>0.33470947553691843</v>
      </c>
      <c r="K9" s="68">
        <f t="shared" ca="1" si="1"/>
        <v>0.33470947553691843</v>
      </c>
      <c r="L9">
        <v>0</v>
      </c>
    </row>
    <row r="10" spans="1:12" x14ac:dyDescent="0.55000000000000004">
      <c r="D10" s="3" t="s">
        <v>2</v>
      </c>
      <c r="E10" s="68">
        <f t="shared" ca="1" si="0"/>
        <v>0.336468267508512</v>
      </c>
      <c r="F10" s="68">
        <f t="shared" ca="1" si="0"/>
        <v>0.336468267508512</v>
      </c>
      <c r="G10" s="68">
        <f t="shared" ca="1" si="0"/>
        <v>0.336468267508512</v>
      </c>
      <c r="H10" s="68">
        <f t="shared" ca="1" si="0"/>
        <v>0.336468267508512</v>
      </c>
      <c r="I10" s="68"/>
      <c r="J10" s="68">
        <f t="shared" ca="1" si="1"/>
        <v>0.33300220078638831</v>
      </c>
      <c r="K10" s="68">
        <f t="shared" ca="1" si="1"/>
        <v>0.33300220078638831</v>
      </c>
      <c r="L10">
        <v>1</v>
      </c>
    </row>
    <row r="11" spans="1:12" x14ac:dyDescent="0.55000000000000004">
      <c r="D11" s="3" t="s">
        <v>3</v>
      </c>
      <c r="E11" s="68">
        <f t="shared" ca="1" si="0"/>
        <v>1</v>
      </c>
      <c r="F11" s="68">
        <f t="shared" ca="1" si="0"/>
        <v>0.78482182233967579</v>
      </c>
      <c r="G11" s="68">
        <f t="shared" ca="1" si="0"/>
        <v>1</v>
      </c>
      <c r="H11" s="68">
        <f t="shared" ca="1" si="0"/>
        <v>0.78482182233967579</v>
      </c>
      <c r="I11" s="68"/>
      <c r="J11" s="68">
        <f t="shared" ca="1" si="1"/>
        <v>0.78252053815167855</v>
      </c>
      <c r="K11" s="68">
        <f t="shared" ca="1" si="1"/>
        <v>0.78252053815167855</v>
      </c>
      <c r="L11">
        <v>2</v>
      </c>
    </row>
    <row r="12" spans="1:12" x14ac:dyDescent="0.55000000000000004">
      <c r="D12" s="3" t="s">
        <v>4</v>
      </c>
      <c r="E12" s="68">
        <f t="shared" ca="1" si="0"/>
        <v>0.84216475686572845</v>
      </c>
      <c r="F12" s="68">
        <f t="shared" ca="1" si="0"/>
        <v>0.84216475686572845</v>
      </c>
      <c r="G12" s="68">
        <f t="shared" ca="1" si="0"/>
        <v>0.84216475686572845</v>
      </c>
      <c r="H12" s="68">
        <f t="shared" ca="1" si="0"/>
        <v>0.84216475686572845</v>
      </c>
      <c r="I12" s="68"/>
      <c r="J12" s="68">
        <f t="shared" ca="1" si="1"/>
        <v>0.84043822558883619</v>
      </c>
      <c r="K12" s="68">
        <f t="shared" ca="1" si="1"/>
        <v>0.84043822558883619</v>
      </c>
      <c r="L12">
        <v>3</v>
      </c>
    </row>
    <row r="13" spans="1:12" x14ac:dyDescent="0.55000000000000004">
      <c r="D13" t="s">
        <v>162</v>
      </c>
      <c r="E13" s="6"/>
      <c r="F13" s="6"/>
      <c r="G13" s="6"/>
      <c r="H13" s="6"/>
      <c r="I13" s="6"/>
      <c r="J13" s="6"/>
      <c r="K13" s="6"/>
      <c r="L13">
        <v>4</v>
      </c>
    </row>
    <row r="14" spans="1:12" x14ac:dyDescent="0.55000000000000004">
      <c r="D14" s="3" t="s">
        <v>0</v>
      </c>
      <c r="E14" s="68" t="str">
        <f ca="1">TEXT(ROUND(OFFSET(UC_K_Y!$C$6,E$2,$L15+E$1), 3), "0.000")</f>
        <v>0.186</v>
      </c>
      <c r="F14" s="68" t="str">
        <f ca="1">CONCATENATE(TEXT(ROUND(OFFSET(UC_K_Y!$C$6,F$2,$L15+F$1), 3), "0.000"), " (", TEXT(ROUND(OFFSET(UC_K_Y!$C$8,F$2-1,$L15+F$1), 2), "+0%; -0%; 0%"), ")")</f>
        <v>0.180 ( -3%)</v>
      </c>
      <c r="G14" s="68" t="str">
        <f ca="1">TEXT(ROUND(OFFSET(UC_K_Y!$C$6,G$2,$L15+G$1), 3), "0.000")</f>
        <v>0.184</v>
      </c>
      <c r="H14" s="68" t="str">
        <f ca="1">CONCATENATE(TEXT(ROUND(OFFSET(UC_K_Y!$C$6,H$2,$L15+H$1), 3), "0.000"), " (", TEXT(ROUND(OFFSET(UC_K_Y!$C$8,H$2-1,$L15+H$1), 2), "+0%; -0%; 0%"), ")")</f>
        <v>0.185 ( 0%)</v>
      </c>
      <c r="I14" s="68"/>
      <c r="J14" s="68" t="str">
        <f ca="1">CONCATENATE(TEXT(ROUND(OFFSET(UC_K_Y!$C$6,J$2,$L15+J$1), 3), "0.000"), " (", TEXT(ROUND(OFFSET(UC_K_Y!$C$8,J$2-1,$L15+J$1), 2), "+0%; -0%; 0%"), ")")</f>
        <v>0.181 ( -2%)</v>
      </c>
      <c r="K14" s="68" t="str">
        <f ca="1">CONCATENATE(TEXT(ROUND(OFFSET(UC_K_Y!$C$6,K$2,$L15+K$1), 3), "0.000"), " (", TEXT(ROUND(OFFSET(UC_K_Y!$C$8,K$2-1,$L15+K$1), 2), "+0%; -0%; 0%"), ")")</f>
        <v>0.186 (+1%)</v>
      </c>
    </row>
    <row r="15" spans="1:12" x14ac:dyDescent="0.55000000000000004">
      <c r="D15" s="3" t="s">
        <v>1</v>
      </c>
      <c r="E15" s="68" t="str">
        <f ca="1">TEXT(ROUND(OFFSET(UC_K_Y!$C$6,E$2,$L16+E$1), 3), "0.000")</f>
        <v>0.139</v>
      </c>
      <c r="F15" s="68" t="str">
        <f ca="1">CONCATENATE(TEXT(ROUND(OFFSET(UC_K_Y!$C$6,F$2,$L16+F$1), 3), "0.000"), " (", TEXT(ROUND(OFFSET(UC_K_Y!$C$8,F$2-1,$L16+F$1), 2), "+0%; -0%; 0%"), ")")</f>
        <v>0.125 ( -10%)</v>
      </c>
      <c r="G15" s="68" t="str">
        <f ca="1">TEXT(ROUND(OFFSET(UC_K_Y!$C$6,G$2,$L16+G$1), 3), "0.000")</f>
        <v>0.135</v>
      </c>
      <c r="H15" s="68" t="str">
        <f ca="1">CONCATENATE(TEXT(ROUND(OFFSET(UC_K_Y!$C$6,H$2,$L16+H$1), 3), "0.000"), " (", TEXT(ROUND(OFFSET(UC_K_Y!$C$8,H$2-1,$L16+H$1), 2), "+0%; -0%; 0%"), ")")</f>
        <v>0.136 (+1%)</v>
      </c>
      <c r="I15" s="68"/>
      <c r="J15" s="68" t="str">
        <f ca="1">CONCATENATE(TEXT(ROUND(OFFSET(UC_K_Y!$C$6,J$2,$L16+J$1), 3), "0.000"), " (", TEXT(ROUND(OFFSET(UC_K_Y!$C$8,J$2-1,$L16+J$1), 2), "+0%; -0%; 0%"), ")")</f>
        <v>0.127 ( -9%)</v>
      </c>
      <c r="K15" s="68" t="str">
        <f ca="1">CONCATENATE(TEXT(ROUND(OFFSET(UC_K_Y!$C$6,K$2,$L16+K$1), 3), "0.000"), " (", TEXT(ROUND(OFFSET(UC_K_Y!$C$8,K$2-1,$L16+K$1), 2), "+0%; -0%; 0%"), ")")</f>
        <v>0.138 (+2%)</v>
      </c>
      <c r="L15">
        <v>0</v>
      </c>
    </row>
    <row r="16" spans="1:12" x14ac:dyDescent="0.55000000000000004">
      <c r="D16" s="3" t="s">
        <v>2</v>
      </c>
      <c r="E16" s="68" t="str">
        <f ca="1">TEXT(ROUND(OFFSET(UC_K_Y!$C$6,E$2,$L17+E$1), 3), "0.000")</f>
        <v>0.149</v>
      </c>
      <c r="F16" s="68" t="str">
        <f ca="1">CONCATENATE(TEXT(ROUND(OFFSET(UC_K_Y!$C$6,F$2,$L17+F$1), 3), "0.000"), " (", TEXT(ROUND(OFFSET(UC_K_Y!$C$8,F$2-1,$L17+F$1), 2), "+0%; -0%; 0%"), ")")</f>
        <v>0.134 ( -10%)</v>
      </c>
      <c r="G16" s="68" t="str">
        <f ca="1">TEXT(ROUND(OFFSET(UC_K_Y!$C$6,G$2,$L17+G$1), 3), "0.000")</f>
        <v>0.145</v>
      </c>
      <c r="H16" s="68" t="str">
        <f ca="1">CONCATENATE(TEXT(ROUND(OFFSET(UC_K_Y!$C$6,H$2,$L17+H$1), 3), "0.000"), " (", TEXT(ROUND(OFFSET(UC_K_Y!$C$8,H$2-1,$L17+H$1), 2), "+0%; -0%; 0%"), ")")</f>
        <v>0.146 (+1%)</v>
      </c>
      <c r="I16" s="68"/>
      <c r="J16" s="68" t="str">
        <f ca="1">CONCATENATE(TEXT(ROUND(OFFSET(UC_K_Y!$C$6,J$2,$L17+J$1), 3), "0.000"), " (", TEXT(ROUND(OFFSET(UC_K_Y!$C$8,J$2-1,$L17+J$1), 2), "+0%; -0%; 0%"), ")")</f>
        <v>0.136 ( -9%)</v>
      </c>
      <c r="K16" s="68" t="str">
        <f ca="1">CONCATENATE(TEXT(ROUND(OFFSET(UC_K_Y!$C$6,K$2,$L17+K$1), 3), "0.000"), " (", TEXT(ROUND(OFFSET(UC_K_Y!$C$8,K$2-1,$L17+K$1), 2), "+0%; -0%; 0%"), ")")</f>
        <v>0.148 (+2%)</v>
      </c>
      <c r="L16">
        <v>1</v>
      </c>
    </row>
    <row r="17" spans="4:12" x14ac:dyDescent="0.55000000000000004">
      <c r="D17" s="3" t="s">
        <v>3</v>
      </c>
      <c r="E17" s="68" t="str">
        <f ca="1">TEXT(ROUND(OFFSET(UC_K_Y!$C$6,E$2,$L18+E$1), 3), "0.000")</f>
        <v>0.184</v>
      </c>
      <c r="F17" s="68" t="str">
        <f ca="1">CONCATENATE(TEXT(ROUND(OFFSET(UC_K_Y!$C$6,F$2,$L18+F$1), 3), "0.000"), " (", TEXT(ROUND(OFFSET(UC_K_Y!$C$8,F$2-1,$L18+F$1), 2), "+0%; -0%; 0%"), ")")</f>
        <v>0.200 (+9%)</v>
      </c>
      <c r="G17" s="68" t="str">
        <f ca="1">TEXT(ROUND(OFFSET(UC_K_Y!$C$6,G$2,$L18+G$1), 3), "0.000")</f>
        <v>0.201</v>
      </c>
      <c r="H17" s="68" t="str">
        <f ca="1">CONCATENATE(TEXT(ROUND(OFFSET(UC_K_Y!$C$6,H$2,$L18+H$1), 3), "0.000"), " (", TEXT(ROUND(OFFSET(UC_K_Y!$C$8,H$2-1,$L18+H$1), 2), "+0%; -0%; 0%"), ")")</f>
        <v>0.225 (+12%)</v>
      </c>
      <c r="I17" s="68"/>
      <c r="J17" s="68" t="str">
        <f ca="1">CONCATENATE(TEXT(ROUND(OFFSET(UC_K_Y!$C$6,J$2,$L18+J$1), 3), "0.000"), " (", TEXT(ROUND(OFFSET(UC_K_Y!$C$8,J$2-1,$L18+J$1), 2), "+0%; -0%; 0%"), ")")</f>
        <v>0.202 (+10%)</v>
      </c>
      <c r="K17" s="68" t="str">
        <f ca="1">CONCATENATE(TEXT(ROUND(OFFSET(UC_K_Y!$C$6,K$2,$L18+K$1), 3), "0.000"), " (", TEXT(ROUND(OFFSET(UC_K_Y!$C$8,K$2-1,$L18+K$1), 2), "+0%; -0%; 0%"), ")")</f>
        <v>0.227 (+13%)</v>
      </c>
      <c r="L17">
        <v>2</v>
      </c>
    </row>
    <row r="18" spans="4:12" x14ac:dyDescent="0.55000000000000004">
      <c r="D18" s="3" t="s">
        <v>4</v>
      </c>
      <c r="E18" s="68" t="str">
        <f ca="1">TEXT(ROUND(OFFSET(UC_K_Y!$C$6,E$2,$L19+E$1), 3), "0.000")</f>
        <v>0.301</v>
      </c>
      <c r="F18" s="68" t="str">
        <f ca="1">CONCATENATE(TEXT(ROUND(OFFSET(UC_K_Y!$C$6,F$2,$L19+F$1), 3), "0.000"), " (", TEXT(ROUND(OFFSET(UC_K_Y!$C$8,F$2-1,$L19+F$1), 2), "+0%; -0%; 0%"), ")")</f>
        <v>0.292 ( -3%)</v>
      </c>
      <c r="G18" s="68" t="str">
        <f ca="1">TEXT(ROUND(OFFSET(UC_K_Y!$C$6,G$2,$L19+G$1), 3), "0.000")</f>
        <v>0.298</v>
      </c>
      <c r="H18" s="68" t="str">
        <f ca="1">CONCATENATE(TEXT(ROUND(OFFSET(UC_K_Y!$C$6,H$2,$L19+H$1), 3), "0.000"), " (", TEXT(ROUND(OFFSET(UC_K_Y!$C$8,H$2-1,$L19+H$1), 2), "+0%; -0%; 0%"), ")")</f>
        <v>0.299 ( 0%)</v>
      </c>
      <c r="I18" s="68"/>
      <c r="J18" s="68" t="str">
        <f ca="1">CONCATENATE(TEXT(ROUND(OFFSET(UC_K_Y!$C$6,J$2,$L19+J$1), 3), "0.000"), " (", TEXT(ROUND(OFFSET(UC_K_Y!$C$8,J$2-1,$L19+J$1), 2), "+0%; -0%; 0%"), ")")</f>
        <v>0.294 ( -2%)</v>
      </c>
      <c r="K18" s="68" t="str">
        <f ca="1">CONCATENATE(TEXT(ROUND(OFFSET(UC_K_Y!$C$6,K$2,$L19+K$1), 3), "0.000"), " (", TEXT(ROUND(OFFSET(UC_K_Y!$C$8,K$2-1,$L19+K$1), 2), "+0%; -0%; 0%"), ")")</f>
        <v>0.301 (+1%)</v>
      </c>
      <c r="L18">
        <v>3</v>
      </c>
    </row>
    <row r="19" spans="4:12" x14ac:dyDescent="0.55000000000000004">
      <c r="D19" s="3" t="s">
        <v>112</v>
      </c>
      <c r="E19" s="68"/>
      <c r="F19" s="68" t="str">
        <f ca="1">TEXT(ROUND(OFFSET(UC_K_Y!$C$8,F$2-1,$L20+F$1), 3), "+0.0%; -0.0%; 0.0%")</f>
        <v xml:space="preserve"> -4.1%</v>
      </c>
      <c r="G19" s="68"/>
      <c r="H19" s="68" t="str">
        <f ca="1">TEXT(ROUND(OFFSET(UC_K_Y!$C$8,H$2-1,$L20+H$1), 3), "+0.0%; -0.0%; 0.0%")</f>
        <v>+1.3%</v>
      </c>
      <c r="I19" s="68"/>
      <c r="J19" s="68" t="str">
        <f ca="1">TEXT(ROUND(OFFSET(UC_K_Y!$C$8,J$2-1,$L20+J$1), 3), "+0.0%; -0.0%; 0.0%")</f>
        <v xml:space="preserve"> -3.2%</v>
      </c>
      <c r="K19" s="68" t="str">
        <f ca="1">TEXT(ROUND(OFFSET(UC_K_Y!$C$8,K$2-1,$L20+K$1), 3), "+0.0%; -0.0%; 0.0%")</f>
        <v>+2.4%</v>
      </c>
      <c r="L19">
        <v>4</v>
      </c>
    </row>
    <row r="20" spans="4:12" x14ac:dyDescent="0.55000000000000004">
      <c r="D20" s="4" t="s">
        <v>163</v>
      </c>
      <c r="E20" s="6"/>
      <c r="F20" s="6"/>
      <c r="G20" s="6"/>
      <c r="H20" s="6"/>
      <c r="I20" s="6"/>
      <c r="J20" s="6"/>
      <c r="K20" s="6"/>
      <c r="L20">
        <v>5</v>
      </c>
    </row>
    <row r="21" spans="4:12" x14ac:dyDescent="0.55000000000000004">
      <c r="D21" s="3" t="s">
        <v>0</v>
      </c>
      <c r="E21" s="69"/>
      <c r="F21" s="69">
        <f ca="1">ROUND(OFFSET(UC_K_Y!$C$8,F$2,$L15+F$1), 3)</f>
        <v>5.7000000000000002E-2</v>
      </c>
      <c r="G21" s="6"/>
      <c r="H21" s="69">
        <f ca="1">ROUND(OFFSET(UC_K_Y!$C$8,H$2,$L15+H$1), 3)</f>
        <v>-1.2E-2</v>
      </c>
      <c r="I21" s="6"/>
      <c r="J21" s="69">
        <f ca="1">ROUND(OFFSET(UC_K_Y!$C$8,J$2,$L15+J$1), 3)</f>
        <v>4.2999999999999997E-2</v>
      </c>
      <c r="K21" s="69">
        <f ca="1">ROUND(OFFSET(UC_K_Y!$C$8,K$2,$L15+K$1), 3)</f>
        <v>-2.8000000000000001E-2</v>
      </c>
    </row>
    <row r="22" spans="4:12" x14ac:dyDescent="0.55000000000000004">
      <c r="D22" s="3" t="s">
        <v>1</v>
      </c>
      <c r="E22" s="6"/>
      <c r="F22" s="69">
        <f ca="1">ROUND(OFFSET(UC_K_Y!$C$8,F$2,$L16+F$1), 3)</f>
        <v>0.129</v>
      </c>
      <c r="G22" s="6"/>
      <c r="H22" s="69">
        <f ca="1">ROUND(OFFSET(UC_K_Y!$C$8,H$2,$L16+H$1), 3)</f>
        <v>-1.4999999999999999E-2</v>
      </c>
      <c r="I22" s="6"/>
      <c r="J22" s="69">
        <f ca="1">ROUND(OFFSET(UC_K_Y!$C$8,J$2,$L16+J$1), 3)</f>
        <v>0.111</v>
      </c>
      <c r="K22" s="69">
        <f ca="1">ROUND(OFFSET(UC_K_Y!$C$8,K$2,$L16+K$1), 3)</f>
        <v>-3.6999999999999998E-2</v>
      </c>
      <c r="L22">
        <v>0</v>
      </c>
    </row>
    <row r="23" spans="4:12" x14ac:dyDescent="0.55000000000000004">
      <c r="D23" s="3" t="s">
        <v>2</v>
      </c>
      <c r="E23" s="6"/>
      <c r="F23" s="69">
        <f ca="1">ROUND(OFFSET(UC_K_Y!$C$8,F$2,$L17+F$1), 3)</f>
        <v>0.13</v>
      </c>
      <c r="G23" s="6"/>
      <c r="H23" s="69">
        <f ca="1">ROUND(OFFSET(UC_K_Y!$C$8,H$2,$L17+H$1), 3)</f>
        <v>-1.4999999999999999E-2</v>
      </c>
      <c r="I23" s="6"/>
      <c r="J23" s="69">
        <f ca="1">ROUND(OFFSET(UC_K_Y!$C$8,J$2,$L17+J$1), 3)</f>
        <v>0.112</v>
      </c>
      <c r="K23" s="69">
        <f ca="1">ROUND(OFFSET(UC_K_Y!$C$8,K$2,$L17+K$1), 3)</f>
        <v>-3.5999999999999997E-2</v>
      </c>
      <c r="L23">
        <v>1</v>
      </c>
    </row>
    <row r="24" spans="4:12" x14ac:dyDescent="0.55000000000000004">
      <c r="D24" s="3" t="s">
        <v>3</v>
      </c>
      <c r="E24" s="6"/>
      <c r="F24" s="69">
        <f ca="1">ROUND(OFFSET(UC_K_Y!$C$8,F$2,$L18+F$1), 3)</f>
        <v>-6.6000000000000003E-2</v>
      </c>
      <c r="G24" s="6"/>
      <c r="H24" s="69">
        <f ca="1">ROUND(OFFSET(UC_K_Y!$C$8,H$2,$L18+H$1), 3)</f>
        <v>-0.13100000000000001</v>
      </c>
      <c r="I24" s="6"/>
      <c r="J24" s="69">
        <f ca="1">ROUND(OFFSET(UC_K_Y!$C$8,J$2,$L18+J$1), 3)</f>
        <v>-0.08</v>
      </c>
      <c r="K24" s="69">
        <f ca="1">ROUND(OFFSET(UC_K_Y!$C$8,K$2,$L18+K$1), 3)</f>
        <v>-0.14599999999999999</v>
      </c>
      <c r="L24">
        <v>2</v>
      </c>
    </row>
    <row r="25" spans="4:12" x14ac:dyDescent="0.55000000000000004">
      <c r="D25" s="3" t="s">
        <v>4</v>
      </c>
      <c r="E25" s="6"/>
      <c r="F25" s="69">
        <f ca="1">ROUND(OFFSET(UC_K_Y!$C$8,F$2,$L19+F$1), 3)</f>
        <v>5.3999999999999999E-2</v>
      </c>
      <c r="G25" s="6"/>
      <c r="H25" s="69">
        <f ca="1">ROUND(OFFSET(UC_K_Y!$C$8,H$2,$L19+H$1), 3)</f>
        <v>-0.01</v>
      </c>
      <c r="I25" s="6"/>
      <c r="J25" s="69">
        <f ca="1">ROUND(OFFSET(UC_K_Y!$C$8,J$2,$L19+J$1), 3)</f>
        <v>4.2999999999999997E-2</v>
      </c>
      <c r="K25" s="69">
        <f ca="1">ROUND(OFFSET(UC_K_Y!$C$8,K$2,$L19+K$1), 3)</f>
        <v>-2.3E-2</v>
      </c>
      <c r="L25">
        <v>3</v>
      </c>
    </row>
    <row r="26" spans="4:12" x14ac:dyDescent="0.55000000000000004">
      <c r="D26" s="3" t="s">
        <v>112</v>
      </c>
      <c r="E26" s="6"/>
      <c r="F26" s="69">
        <f ca="1">ROUND(OFFSET(UC_K_Y!$C$8,F$2,$L20+F$1), 3)</f>
        <v>6.7000000000000004E-2</v>
      </c>
      <c r="G26" s="6"/>
      <c r="H26" s="69">
        <f ca="1">ROUND(OFFSET(UC_K_Y!$C$8,H$2,$L20+H$1), 3)</f>
        <v>-0.02</v>
      </c>
      <c r="I26" s="6"/>
      <c r="J26" s="69">
        <f ca="1">ROUND(OFFSET(UC_K_Y!$C$8,J$2,$L20+J$1), 3)</f>
        <v>5.1999999999999998E-2</v>
      </c>
      <c r="K26" s="69">
        <f ca="1">ROUND(OFFSET(UC_K_Y!$C$8,K$2,$L20+K$1), 3)</f>
        <v>-3.9E-2</v>
      </c>
      <c r="L26">
        <v>4</v>
      </c>
    </row>
    <row r="27" spans="4:12" x14ac:dyDescent="0.55000000000000004">
      <c r="D27" s="4" t="s">
        <v>164</v>
      </c>
      <c r="E27" s="6"/>
      <c r="F27" s="69">
        <f ca="1">dY_c</f>
        <v>2.5304851320718497E-2</v>
      </c>
      <c r="G27" s="76"/>
      <c r="H27" s="76">
        <f ca="1">dY_p</f>
        <v>-7.780543829612129E-3</v>
      </c>
      <c r="I27" s="76"/>
      <c r="J27" s="76">
        <f ca="1">dY_c_co</f>
        <v>1.9584444998117678E-2</v>
      </c>
      <c r="K27" s="76">
        <f ca="1">dY_p_co</f>
        <v>-1.4817699888906775E-2</v>
      </c>
      <c r="L27">
        <v>5</v>
      </c>
    </row>
    <row r="28" spans="4:12" x14ac:dyDescent="0.55000000000000004">
      <c r="E28" s="67" t="s">
        <v>144</v>
      </c>
      <c r="F28" s="67"/>
      <c r="G28" s="67"/>
      <c r="H28" s="67"/>
      <c r="I28" s="67"/>
      <c r="J28" s="67" t="s">
        <v>178</v>
      </c>
      <c r="K28" s="67"/>
    </row>
    <row r="29" spans="4:12" x14ac:dyDescent="0.55000000000000004">
      <c r="D29" s="4" t="s">
        <v>166</v>
      </c>
      <c r="E29" s="67"/>
      <c r="F29" s="67"/>
      <c r="G29" s="67"/>
      <c r="H29" s="67"/>
      <c r="I29" s="67"/>
      <c r="J29" s="67"/>
    </row>
    <row r="30" spans="4:12" x14ac:dyDescent="0.55000000000000004">
      <c r="D30" s="3" t="s">
        <v>167</v>
      </c>
      <c r="E30" s="70">
        <f ca="1">dY</f>
        <v>9.3177031066424831E-3</v>
      </c>
      <c r="F30" s="70"/>
      <c r="G30" s="70"/>
      <c r="H30" s="70"/>
      <c r="I30" s="70"/>
      <c r="J30" s="70">
        <f ca="1">dY_co</f>
        <v>4.6429074415770266E-3</v>
      </c>
    </row>
    <row r="31" spans="4:12" x14ac:dyDescent="0.55000000000000004">
      <c r="D31" s="3" t="s">
        <v>168</v>
      </c>
      <c r="E31" s="70">
        <f ca="1">Fiscal!E20</f>
        <v>3.738850067839472E-3</v>
      </c>
      <c r="F31" s="67"/>
      <c r="G31" s="67"/>
      <c r="H31" s="67"/>
      <c r="I31" s="67"/>
      <c r="J31" s="70">
        <f ca="1">Fiscal!F20</f>
        <v>1.863027250840199E-3</v>
      </c>
    </row>
    <row r="32" spans="4:12" x14ac:dyDescent="0.55000000000000004">
      <c r="D32" s="3" t="s">
        <v>169</v>
      </c>
      <c r="E32" s="71">
        <f ca="1">Fiscal!E21</f>
        <v>3.8776938030249397E-2</v>
      </c>
      <c r="F32" s="67"/>
      <c r="G32" s="67"/>
      <c r="H32" s="67"/>
      <c r="I32" s="67"/>
      <c r="J32" s="71">
        <f ca="1">Fiscal!F21</f>
        <v>1.9338395172363576E-2</v>
      </c>
    </row>
    <row r="33" spans="4:10" x14ac:dyDescent="0.55000000000000004">
      <c r="D33" s="3" t="s">
        <v>165</v>
      </c>
      <c r="E33" s="70">
        <f ca="1">UC_K_Y!F30</f>
        <v>1.6289776095623321E-2</v>
      </c>
      <c r="F33" s="67"/>
      <c r="G33" s="67"/>
      <c r="H33" s="67"/>
      <c r="I33" s="67"/>
      <c r="J33" s="70">
        <f ca="1">UC_K_Y!O30</f>
        <v>1.1576081667564297E-2</v>
      </c>
    </row>
    <row r="34" spans="4:10" x14ac:dyDescent="0.55000000000000004">
      <c r="D34" s="4" t="s">
        <v>177</v>
      </c>
      <c r="E34" s="67"/>
      <c r="F34" s="67"/>
      <c r="G34" s="67"/>
      <c r="H34" s="67"/>
      <c r="I34" s="67"/>
      <c r="J34" s="67"/>
    </row>
    <row r="35" spans="4:10" x14ac:dyDescent="0.55000000000000004">
      <c r="D35" s="3" t="s">
        <v>172</v>
      </c>
      <c r="E35" s="73">
        <f>ROUND(Fiscal!E24/100, 0) * 100</f>
        <v>-1500</v>
      </c>
      <c r="F35" s="67"/>
      <c r="G35" s="67"/>
      <c r="H35" s="67"/>
      <c r="I35" s="67"/>
      <c r="J35" s="67"/>
    </row>
    <row r="36" spans="4:10" x14ac:dyDescent="0.55000000000000004">
      <c r="D36" s="3" t="s">
        <v>173</v>
      </c>
      <c r="E36" s="73">
        <f ca="1">ROUND(Fiscal!E25/50, 0) * 50</f>
        <v>-250</v>
      </c>
      <c r="F36" s="67"/>
      <c r="G36" s="67"/>
      <c r="H36" s="67"/>
      <c r="I36" s="67"/>
      <c r="J36" s="67"/>
    </row>
    <row r="37" spans="4:10" x14ac:dyDescent="0.55000000000000004">
      <c r="D37" s="3" t="s">
        <v>174</v>
      </c>
      <c r="E37" s="73">
        <f ca="1">ROUND(Fiscal!E26/100, 0)*100</f>
        <v>-1200</v>
      </c>
      <c r="F37" s="67"/>
      <c r="G37" s="67"/>
      <c r="H37" s="67"/>
      <c r="I37" s="67"/>
      <c r="J37" s="67"/>
    </row>
    <row r="38" spans="4:10" x14ac:dyDescent="0.55000000000000004">
      <c r="D38" s="3" t="s">
        <v>175</v>
      </c>
      <c r="E38" s="73">
        <f ca="1">ROUND(Fiscal!E27/100,0)*100</f>
        <v>900</v>
      </c>
      <c r="F38" s="67"/>
      <c r="G38" s="67"/>
      <c r="H38" s="67"/>
      <c r="I38" s="67"/>
      <c r="J38" s="67"/>
    </row>
    <row r="39" spans="4:10" x14ac:dyDescent="0.55000000000000004">
      <c r="D39" s="4" t="s">
        <v>176</v>
      </c>
      <c r="E39" s="72">
        <f ca="1">int_crowdout</f>
        <v>1.4E-3</v>
      </c>
      <c r="F39" s="67"/>
      <c r="G39" s="67"/>
      <c r="H39" s="67"/>
      <c r="I39" s="67"/>
      <c r="J39" s="67"/>
    </row>
    <row r="40" spans="4:10" x14ac:dyDescent="0.55000000000000004">
      <c r="E40" s="67"/>
      <c r="F40" s="67"/>
      <c r="G40" s="67"/>
      <c r="J40" s="67"/>
    </row>
    <row r="41" spans="4:10" x14ac:dyDescent="0.55000000000000004">
      <c r="E41" s="67"/>
      <c r="F41" s="67"/>
      <c r="G41" s="67"/>
      <c r="J41" s="67"/>
    </row>
    <row r="42" spans="4:10" x14ac:dyDescent="0.55000000000000004">
      <c r="E42" s="67"/>
      <c r="F42" s="67"/>
      <c r="G42" s="67"/>
      <c r="J42" s="67"/>
    </row>
    <row r="43" spans="4:10" x14ac:dyDescent="0.55000000000000004">
      <c r="E43" s="67"/>
      <c r="F43" s="67"/>
      <c r="G43" s="67"/>
      <c r="J43" s="67"/>
    </row>
    <row r="44" spans="4:10" x14ac:dyDescent="0.55000000000000004">
      <c r="E44" s="67"/>
      <c r="F44" s="67"/>
      <c r="G44" s="67"/>
      <c r="J44" s="67"/>
    </row>
    <row r="45" spans="4:10" x14ac:dyDescent="0.55000000000000004">
      <c r="E45" s="67"/>
      <c r="F45" s="67"/>
      <c r="G45" s="67"/>
      <c r="J45" s="67"/>
    </row>
    <row r="46" spans="4:10" x14ac:dyDescent="0.55000000000000004">
      <c r="E46" s="67"/>
      <c r="F46" s="67"/>
      <c r="G46" s="67"/>
      <c r="J46" s="67"/>
    </row>
    <row r="47" spans="4:10" x14ac:dyDescent="0.55000000000000004">
      <c r="E47" s="67"/>
      <c r="F47" s="67"/>
      <c r="G47" s="67"/>
      <c r="J47" s="67"/>
    </row>
  </sheetData>
  <mergeCells count="6">
    <mergeCell ref="J5:J6"/>
    <mergeCell ref="K5:K6"/>
    <mergeCell ref="E4:H4"/>
    <mergeCell ref="E5:F5"/>
    <mergeCell ref="G5:H5"/>
    <mergeCell ref="J4:K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Baseline Policy Scenario" prompt="Please select the baseline policy scenario">
          <x14:formula1>
            <xm:f>PolicyParam!$H$2:$M$2</xm:f>
          </x14:formula1>
          <xm:sqref>B5</xm:sqref>
        </x14:dataValidation>
        <x14:dataValidation type="list" allowBlank="1" showInputMessage="1" showErrorMessage="1" promptTitle="Reform Policy" prompt="Please select the reform policy to model_x000a_">
          <x14:formula1>
            <xm:f>PolicyParam!$H$2:$M$2</xm:f>
          </x14:formula1>
          <xm:sqref>B6</xm:sqref>
        </x14:dataValidation>
        <x14:dataValidation type="list" allowBlank="1" showInputMessage="1" showErrorMessage="1" promptTitle="Economic Parameters" prompt="Please select the set of economic parameters to model">
          <x14:formula1>
            <xm:f>EconParam!$F$2:$I$2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85" zoomScaleNormal="85" workbookViewId="0">
      <selection activeCell="T21" sqref="T21:Z21"/>
    </sheetView>
  </sheetViews>
  <sheetFormatPr defaultRowHeight="14.4" x14ac:dyDescent="0.55000000000000004"/>
  <cols>
    <col min="1" max="1" width="2.62890625" bestFit="1" customWidth="1"/>
    <col min="2" max="2" width="28.7890625" bestFit="1" customWidth="1"/>
    <col min="3" max="3" width="9.20703125" bestFit="1" customWidth="1"/>
    <col min="4" max="4" width="10.3671875" bestFit="1" customWidth="1"/>
    <col min="5" max="5" width="14.68359375" bestFit="1" customWidth="1"/>
    <col min="6" max="6" width="6.5234375" bestFit="1" customWidth="1"/>
    <col min="7" max="7" width="7.15625" bestFit="1" customWidth="1"/>
    <col min="8" max="8" width="7.1015625" bestFit="1" customWidth="1"/>
    <col min="10" max="10" width="4.5234375" bestFit="1" customWidth="1"/>
    <col min="11" max="11" width="28.7890625" bestFit="1" customWidth="1"/>
    <col min="12" max="12" width="9.20703125" bestFit="1" customWidth="1"/>
    <col min="13" max="13" width="10.3671875" bestFit="1" customWidth="1"/>
    <col min="14" max="14" width="14.68359375" bestFit="1" customWidth="1"/>
    <col min="15" max="15" width="6.5234375" bestFit="1" customWidth="1"/>
    <col min="16" max="16" width="7.15625" bestFit="1" customWidth="1"/>
    <col min="17" max="17" width="7.1015625" bestFit="1" customWidth="1"/>
    <col min="19" max="19" width="2.62890625" bestFit="1" customWidth="1"/>
    <col min="20" max="20" width="25.83984375" bestFit="1" customWidth="1"/>
    <col min="21" max="21" width="9.20703125" bestFit="1" customWidth="1"/>
    <col min="22" max="22" width="10.3671875" bestFit="1" customWidth="1"/>
    <col min="23" max="23" width="14.68359375" bestFit="1" customWidth="1"/>
    <col min="24" max="24" width="6.5234375" bestFit="1" customWidth="1"/>
    <col min="25" max="25" width="7.15625" bestFit="1" customWidth="1"/>
    <col min="26" max="26" width="7.1015625" bestFit="1" customWidth="1"/>
  </cols>
  <sheetData>
    <row r="1" spans="1:26" x14ac:dyDescent="0.55000000000000004">
      <c r="B1" s="80" t="s">
        <v>126</v>
      </c>
      <c r="C1" s="80"/>
      <c r="D1" s="80"/>
      <c r="E1" s="80"/>
      <c r="F1" s="80"/>
      <c r="G1" s="80"/>
      <c r="H1" s="80"/>
      <c r="K1" s="80" t="s">
        <v>127</v>
      </c>
      <c r="L1" s="80"/>
      <c r="M1" s="80"/>
      <c r="N1" s="80"/>
      <c r="O1" s="80"/>
      <c r="P1" s="80"/>
      <c r="Q1" s="80"/>
      <c r="T1" s="80" t="s">
        <v>234</v>
      </c>
      <c r="U1" s="80"/>
      <c r="V1" s="80"/>
      <c r="W1" s="80"/>
      <c r="X1" s="80"/>
      <c r="Y1" s="80"/>
      <c r="Z1" s="80"/>
    </row>
    <row r="2" spans="1:26" x14ac:dyDescent="0.55000000000000004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U2" t="s">
        <v>105</v>
      </c>
      <c r="V2" t="s">
        <v>106</v>
      </c>
      <c r="W2" t="s">
        <v>107</v>
      </c>
      <c r="X2" t="s">
        <v>108</v>
      </c>
      <c r="Y2" t="s">
        <v>109</v>
      </c>
    </row>
    <row r="3" spans="1:26" x14ac:dyDescent="0.55000000000000004">
      <c r="B3" s="81" t="s">
        <v>110</v>
      </c>
      <c r="C3" s="81"/>
      <c r="D3" s="81"/>
      <c r="E3" s="81"/>
      <c r="F3" s="81"/>
      <c r="G3" s="81"/>
      <c r="H3" s="81"/>
      <c r="K3" s="81" t="s">
        <v>110</v>
      </c>
      <c r="L3" s="81"/>
      <c r="M3" s="81"/>
      <c r="N3" s="81"/>
      <c r="O3" s="81"/>
      <c r="P3" s="81"/>
      <c r="Q3" s="81"/>
      <c r="T3" s="81" t="s">
        <v>110</v>
      </c>
      <c r="U3" s="81"/>
      <c r="V3" s="81"/>
      <c r="W3" s="81"/>
      <c r="X3" s="81"/>
      <c r="Y3" s="81"/>
      <c r="Z3" s="81"/>
    </row>
    <row r="4" spans="1:26" x14ac:dyDescent="0.55000000000000004">
      <c r="C4" t="s">
        <v>0</v>
      </c>
      <c r="D4" t="s">
        <v>1</v>
      </c>
      <c r="E4" t="s">
        <v>92</v>
      </c>
      <c r="F4" t="s">
        <v>98</v>
      </c>
      <c r="G4" t="s">
        <v>99</v>
      </c>
      <c r="H4" t="s">
        <v>112</v>
      </c>
      <c r="L4" t="s">
        <v>0</v>
      </c>
      <c r="M4" t="s">
        <v>1</v>
      </c>
      <c r="N4" t="s">
        <v>92</v>
      </c>
      <c r="O4" t="s">
        <v>98</v>
      </c>
      <c r="P4" t="s">
        <v>99</v>
      </c>
      <c r="Q4" t="s">
        <v>112</v>
      </c>
      <c r="U4" t="s">
        <v>0</v>
      </c>
      <c r="V4" t="s">
        <v>1</v>
      </c>
      <c r="W4" t="s">
        <v>92</v>
      </c>
      <c r="X4" t="s">
        <v>98</v>
      </c>
      <c r="Y4" t="s">
        <v>99</v>
      </c>
      <c r="Z4" t="s">
        <v>112</v>
      </c>
    </row>
    <row r="5" spans="1:26" x14ac:dyDescent="0.55000000000000004">
      <c r="B5" t="s">
        <v>111</v>
      </c>
      <c r="C5" s="8">
        <f ca="1">INDIRECT("alpha_c_"&amp;C$2)</f>
        <v>0.13832</v>
      </c>
      <c r="D5" s="8">
        <f t="shared" ref="D5:G5" ca="1" si="0">INDIRECT("alpha_c_"&amp;D$2)</f>
        <v>0.12274</v>
      </c>
      <c r="E5" s="8">
        <f t="shared" ca="1" si="0"/>
        <v>7.2199999999999999E-3</v>
      </c>
      <c r="F5" s="8">
        <f t="shared" ca="1" si="0"/>
        <v>4.5219999999999996E-2</v>
      </c>
      <c r="G5" s="8">
        <f t="shared" ca="1" si="0"/>
        <v>6.649999999999999E-2</v>
      </c>
      <c r="K5" t="s">
        <v>111</v>
      </c>
      <c r="L5" s="8">
        <f ca="1">INDIRECT("alpha_c_"&amp;L$2)</f>
        <v>0.13832</v>
      </c>
      <c r="M5" s="8">
        <f t="shared" ref="M5:P5" ca="1" si="1">INDIRECT("alpha_c_"&amp;M$2)</f>
        <v>0.12274</v>
      </c>
      <c r="N5" s="8">
        <f t="shared" ca="1" si="1"/>
        <v>7.2199999999999999E-3</v>
      </c>
      <c r="O5" s="8">
        <f t="shared" ca="1" si="1"/>
        <v>4.5219999999999996E-2</v>
      </c>
      <c r="P5" s="8">
        <f t="shared" ca="1" si="1"/>
        <v>6.649999999999999E-2</v>
      </c>
      <c r="T5" t="s">
        <v>111</v>
      </c>
      <c r="U5" s="8">
        <f ca="1">INDIRECT("alpha_c_"&amp;U$2)</f>
        <v>0.13832</v>
      </c>
      <c r="V5" s="8">
        <f t="shared" ref="V5:Y5" ca="1" si="2">INDIRECT("alpha_c_"&amp;V$2)</f>
        <v>0.12274</v>
      </c>
      <c r="W5" s="8">
        <f t="shared" ca="1" si="2"/>
        <v>7.2199999999999999E-3</v>
      </c>
      <c r="X5" s="8">
        <f t="shared" ca="1" si="2"/>
        <v>4.5219999999999996E-2</v>
      </c>
      <c r="Y5" s="8">
        <f t="shared" ca="1" si="2"/>
        <v>6.649999999999999E-2</v>
      </c>
    </row>
    <row r="6" spans="1:26" x14ac:dyDescent="0.55000000000000004">
      <c r="A6" t="s">
        <v>100</v>
      </c>
      <c r="B6" t="s">
        <v>93</v>
      </c>
      <c r="C6" s="8">
        <f ca="1">((1-tau_c_0*INDIRECT("lambda_"&amp;C$2&amp;$A6))/(1-tau_c_0))*(rho+INDIRECT("delta_"&amp;C$2))-0.5*(tau_c_0/(1-tau_c_0))*pct_debt*i_bond*(1-debt_lim_0)</f>
        <v>0.18562385947055654</v>
      </c>
      <c r="D6" s="8">
        <f ca="1">((1-tau_c_0*INDIRECT("lambda_"&amp;D$2&amp;$A6))/(1-tau_c_0))*(rho+INDIRECT("delta_"&amp;D$2))-0.5*(tau_c_0/(1-tau_c_0))*pct_debt*i_bond*(1-debt_lim_0)</f>
        <v>0.1394618397854529</v>
      </c>
      <c r="E6" s="8">
        <f ca="1">((1-tau_c_0*INDIRECT("lambda_"&amp;E$2&amp;$A6))/(1-tau_c_0))*(rho+INDIRECT("delta_"&amp;E$2))-0.5*(tau_c_0/(1-tau_c_0))*pct_debt*i_bond*(1-debt_lim_0)</f>
        <v>0.14940561993515714</v>
      </c>
      <c r="F6" s="8">
        <f ca="1">((1-tau_c_0*INDIRECT("lambda_"&amp;F$2&amp;$A6)-re_cred_0)/(1-tau_c_0))*(rho+INDIRECT("delta_"&amp;F$2))-0.5*(tau_c_0/(1-tau_c_0))*pct_debt*i_bond*(1-debt_lim_0)</f>
        <v>0.18362580645161292</v>
      </c>
      <c r="G6" s="8">
        <f ca="1">((1-tau_c_0*INDIRECT("lambda_"&amp;G$2&amp;$A6))/(1-tau_c_0))*(rho+INDIRECT("delta_"&amp;G$2))-0.5*(tau_c_0/(1-tau_c_0))*pct_debt*i_bond*(1-debt_lim_0)</f>
        <v>0.30097050820113624</v>
      </c>
      <c r="H6" s="7"/>
      <c r="J6" t="s">
        <v>100</v>
      </c>
      <c r="K6" t="s">
        <v>93</v>
      </c>
      <c r="L6" s="8">
        <f ca="1">((1-tau_c_0*INDIRECT("lambda_"&amp;L$2&amp;$J6))/(1-tau_c_0))*(rho+INDIRECT("delta_"&amp;L$2))-0.5*(tau_c_0/(1-tau_c_0))*pct_debt*i_bond*(1-debt_lim_0)</f>
        <v>0.18562385947055654</v>
      </c>
      <c r="M6" s="8">
        <f ca="1">((1-tau_c_0*INDIRECT("lambda_"&amp;M$2&amp;$J6))/(1-tau_c_0))*(rho+INDIRECT("delta_"&amp;M$2))-0.5*(tau_c_0/(1-tau_c_0))*pct_debt*i_bond*(1-debt_lim_0)</f>
        <v>0.1394618397854529</v>
      </c>
      <c r="N6" s="8">
        <f ca="1">((1-tau_c_0*INDIRECT("lambda_"&amp;N$2&amp;$J6))/(1-tau_c_0))*(rho+INDIRECT("delta_"&amp;N$2))-0.5*(tau_c_0/(1-tau_c_0))*pct_debt*i_bond*(1-debt_lim_0)</f>
        <v>0.14940561993515714</v>
      </c>
      <c r="O6" s="8">
        <f ca="1">((1-tau_c_0*INDIRECT("lambda_"&amp;O$2&amp;$J6)-re_cred_0)/(1-tau_c_0))*(rho+INDIRECT("delta_"&amp;O$2))-0.5*(tau_c_0/(1-tau_c_0))*pct_debt*i_bond*(1-debt_lim_0)</f>
        <v>0.18362580645161292</v>
      </c>
      <c r="P6" s="8">
        <f ca="1">((1-tau_c_0*INDIRECT("lambda_"&amp;P$2&amp;$J6))/(1-tau_c_0))*(rho+INDIRECT("delta_"&amp;P$2))-0.5*(tau_c_0/(1-tau_c_0))*pct_debt*i_bond*(1-debt_lim_0)</f>
        <v>0.30097050820113624</v>
      </c>
      <c r="Q6" s="7"/>
      <c r="S6" t="s">
        <v>235</v>
      </c>
      <c r="T6" t="s">
        <v>237</v>
      </c>
      <c r="U6" s="8">
        <f ca="1">((1-tau_c_B*INDIRECT("lambda_"&amp;U$2&amp;$S6))/(1-tau_c_B))*(rho+INDIRECT("delta_"&amp;U$2))-0.5*(tau_c_B/(1-tau_c_B))*pct_debt*i_bond*(1-debt_lim_B)</f>
        <v>0.18562385947055654</v>
      </c>
      <c r="V6" s="8">
        <f ca="1">((1-tau_c_B*INDIRECT("lambda_"&amp;V$2&amp;$S6))/(1-tau_c_B))*(rho+INDIRECT("delta_"&amp;V$2))-0.5*(tau_c_B/(1-tau_c_B))*pct_debt*i_bond*(1-debt_lim_B)</f>
        <v>0.1394618397854529</v>
      </c>
      <c r="W6" s="8">
        <f ca="1">((1-tau_c_B*INDIRECT("lambda_"&amp;W$2&amp;$S6))/(1-tau_c_B))*(rho+INDIRECT("delta_"&amp;W$2))-0.5*(tau_c_B/(1-tau_c_B))*pct_debt*i_bond*(1-debt_lim_B)</f>
        <v>0.14940561993515714</v>
      </c>
      <c r="X6" s="8">
        <f ca="1">((1-tau_c_B*INDIRECT("lambda_"&amp;X$2&amp;$S6)-re_cred_B)/(1-tau_c_B))*(rho+INDIRECT("delta_"&amp;X$2))-0.5*(tau_c_B/(1-tau_c_B))*pct_debt*i_bond*(1-debt_lim_B)</f>
        <v>0.18362580645161292</v>
      </c>
      <c r="Y6" s="8">
        <f ca="1">((1-tau_c_B*INDIRECT("lambda_"&amp;Y$2&amp;$S6))/(1-tau_c_B))*(rho+INDIRECT("delta_"&amp;Y$2))-0.5*(tau_c_B/(1-tau_c_B))*pct_debt*i_bond*(1-debt_lim_B)</f>
        <v>0.30097050820113624</v>
      </c>
      <c r="Z6" s="7"/>
    </row>
    <row r="7" spans="1:26" x14ac:dyDescent="0.55000000000000004">
      <c r="A7" t="s">
        <v>78</v>
      </c>
      <c r="B7" t="s">
        <v>94</v>
      </c>
      <c r="C7" s="8">
        <f ca="1">((1-tau_c_1*INDIRECT("lambda_"&amp;C$2&amp;$A7))/(1-tau_c_1))*(rho+INDIRECT("delta_"&amp;C$2))-0.5*(tau_c_1/(1-tau_c_1))*pct_debt*i_bond*(1-debt_lim_1)</f>
        <v>0.17978345376846128</v>
      </c>
      <c r="D7" s="8">
        <f ca="1">((1-tau_c_1*INDIRECT("lambda_"&amp;D$2&amp;$A7))/(1-tau_c_1))*(rho+INDIRECT("delta_"&amp;D$2))-0.5*(tau_c_1/(1-tau_c_1))*pct_debt*i_bond*(1-debt_lim_1)</f>
        <v>0.12496181679915219</v>
      </c>
      <c r="E7" s="8">
        <f ca="1">((1-tau_c_1*INDIRECT("lambda_"&amp;E$2&amp;$A7))/(1-tau_c_1))*(rho+INDIRECT("delta_"&amp;E$2))-0.5*(tau_c_1/(1-tau_c_1))*pct_debt*i_bond*(1-debt_lim_1)</f>
        <v>0.13373827244825273</v>
      </c>
      <c r="F7" s="8">
        <f ca="1">((1-tau_c_1*INDIRECT("lambda_"&amp;F$2&amp;$A7)-re_cred_1)/(1-tau_c_1))*(rho+INDIRECT("delta_"&amp;F$2))-0.5*(tau_c_1/(1-tau_c_1))*pct_debt*i_bond*(1-debt_lim_1)</f>
        <v>0.20033864935004203</v>
      </c>
      <c r="G7" s="8">
        <f ca="1">((1-tau_c_1*INDIRECT("lambda_"&amp;G$2&amp;$A7))/(1-tau_c_1))*(rho+INDIRECT("delta_"&amp;G$2))-0.5*(tau_c_1/(1-tau_c_1))*pct_debt*i_bond*(1-debt_lim_1)</f>
        <v>0.29221686760227183</v>
      </c>
      <c r="H7" s="7"/>
      <c r="J7" t="s">
        <v>125</v>
      </c>
      <c r="K7" t="s">
        <v>94</v>
      </c>
      <c r="L7" s="8">
        <f ca="1">((1-tau_c_1*INDIRECT("lambda_"&amp;L$2&amp;$J7))/(1-tau_c_1))*(rho+int_crowdout+INDIRECT("delta_"&amp;L$2))-0.5*(tau_c_1/(1-tau_c_1))*pct_debt*(i_bond+int_crowdout)*(1-debt_lim_1)</f>
        <v>0.18133579532157473</v>
      </c>
      <c r="M7" s="8">
        <f ca="1">((1-tau_c_1*INDIRECT("lambda_"&amp;M$2&amp;$J7))/(1-tau_c_1))*(rho+int_crowdout+INDIRECT("delta_"&amp;M$2))-0.5*(tau_c_1/(1-tau_c_1))*pct_debt*(i_bond+int_crowdout)*(1-debt_lim_1)</f>
        <v>0.12676078474241137</v>
      </c>
      <c r="N7" s="8">
        <f ca="1">((1-tau_c_1*INDIRECT("lambda_"&amp;N$2&amp;$J7))/(1-tau_c_1))*(rho+int_crowdout+INDIRECT("delta_"&amp;N$2))-0.5*(tau_c_1/(1-tau_c_1))*pct_debt*(i_bond+int_crowdout)*(1-debt_lim_1)</f>
        <v>0.13555296219035523</v>
      </c>
      <c r="O7" s="8">
        <f ca="1">((1-tau_c_1*INDIRECT("lambda_"&amp;O$2&amp;$J7)-re_cred_1)/(1-tau_c_1))*(rho+int_crowdout+INDIRECT("delta_"&amp;O$2))-0.5*(tau_c_1/(1-tau_c_1))*pct_debt*(i_bond+int_crowdout)*(1-debt_lim_1)</f>
        <v>0.20183173697970438</v>
      </c>
      <c r="P7" s="8">
        <f ca="1">((1-tau_c_1*INDIRECT("lambda_"&amp;P$2&amp;$J7))/(1-tau_c_1))*(rho+int_crowdout+INDIRECT("delta_"&amp;P$2))-0.5*(tau_c_1/(1-tau_c_1))*pct_debt*(i_bond+int_crowdout)*(1-debt_lim_1)</f>
        <v>0.29380659333976628</v>
      </c>
      <c r="Q7" s="7"/>
      <c r="S7" t="s">
        <v>100</v>
      </c>
      <c r="T7" t="s">
        <v>238</v>
      </c>
      <c r="U7" s="8">
        <f ca="1">((1-tau_c_0*INDIRECT("lambda_"&amp;U$2&amp;$S7))/(1-tau_c_0))*(rho+INDIRECT("delta_"&amp;U$2))-0.5*(tau_c_0/(1-tau_c_0))*pct_debt*i_bond*(1-debt_lim_0)</f>
        <v>0.18562385947055654</v>
      </c>
      <c r="V7" s="8">
        <f ca="1">((1-tau_c_0*INDIRECT("lambda_"&amp;V$2&amp;$S7))/(1-tau_c_0))*(rho+INDIRECT("delta_"&amp;V$2))-0.5*(tau_c_0/(1-tau_c_0))*pct_debt*i_bond*(1-debt_lim_0)</f>
        <v>0.1394618397854529</v>
      </c>
      <c r="W7" s="8">
        <f ca="1">((1-tau_c_0*INDIRECT("lambda_"&amp;W$2&amp;$S7))/(1-tau_c_0))*(rho+INDIRECT("delta_"&amp;W$2))-0.5*(tau_c_0/(1-tau_c_0))*pct_debt*i_bond*(1-debt_lim_0)</f>
        <v>0.14940561993515714</v>
      </c>
      <c r="X7" s="8">
        <f ca="1">((1-tau_c_0*INDIRECT("lambda_"&amp;X$2&amp;$S7)-re_cred_0)/(1-tau_c_0))*(rho+INDIRECT("delta_"&amp;X$2))-0.5*(tau_c_0/(1-tau_c_0))*pct_debt*i_bond*(1-debt_lim_0)</f>
        <v>0.18362580645161292</v>
      </c>
      <c r="Y7" s="8">
        <f ca="1">((1-tau_c_0*INDIRECT("lambda_"&amp;Y$2&amp;$S7))/(1-tau_c_0))*(rho+INDIRECT("delta_"&amp;Y$2))-0.5*(tau_c_0/(1-tau_c_0))*pct_debt*i_bond*(1-debt_lim_0)</f>
        <v>0.30097050820113624</v>
      </c>
      <c r="Z7" s="7"/>
    </row>
    <row r="8" spans="1:26" x14ac:dyDescent="0.55000000000000004">
      <c r="B8" t="s">
        <v>95</v>
      </c>
      <c r="C8" s="41">
        <f ca="1">C7/C6-1</f>
        <v>-3.1463658382890447E-2</v>
      </c>
      <c r="D8" s="41">
        <f t="shared" ref="D8:G8" ca="1" si="3">D7/D6-1</f>
        <v>-0.10397125843605282</v>
      </c>
      <c r="E8" s="41">
        <f t="shared" ca="1" si="3"/>
        <v>-0.10486451241729811</v>
      </c>
      <c r="F8" s="41">
        <f t="shared" ca="1" si="3"/>
        <v>9.1015763096638169E-2</v>
      </c>
      <c r="G8" s="41">
        <f t="shared" ca="1" si="3"/>
        <v>-2.908471215729358E-2</v>
      </c>
      <c r="H8" s="41">
        <f ca="1">SUMPRODUCT(C$5:G$5, C8:G8)/SUM(C$5:G$5)</f>
        <v>-4.1286862681172286E-2</v>
      </c>
      <c r="K8" t="s">
        <v>95</v>
      </c>
      <c r="L8" s="41">
        <f ca="1">L7/L6-1</f>
        <v>-2.3100824221694238E-2</v>
      </c>
      <c r="M8" s="41">
        <f t="shared" ref="M8" ca="1" si="4">M7/M6-1</f>
        <v>-9.1071902267894522E-2</v>
      </c>
      <c r="N8" s="41">
        <f t="shared" ref="N8" ca="1" si="5">N7/N6-1</f>
        <v>-9.2718451627281762E-2</v>
      </c>
      <c r="O8" s="41">
        <f t="shared" ref="O8" ca="1" si="6">O7/O6-1</f>
        <v>9.9146905763972226E-2</v>
      </c>
      <c r="P8" s="41">
        <f t="shared" ref="P8" ca="1" si="7">P7/P6-1</f>
        <v>-2.380271377480736E-2</v>
      </c>
      <c r="Q8" s="41">
        <f ca="1">SUMPRODUCT(L$5:P$5, L8:P8)/SUM(L$5:P$5)</f>
        <v>-3.1953568154823586E-2</v>
      </c>
      <c r="T8" t="s">
        <v>95</v>
      </c>
      <c r="U8" s="41">
        <f ca="1">U7/U6-1</f>
        <v>0</v>
      </c>
      <c r="V8" s="41">
        <f t="shared" ref="V8:Y8" ca="1" si="8">V7/V6-1</f>
        <v>0</v>
      </c>
      <c r="W8" s="41">
        <f t="shared" ca="1" si="8"/>
        <v>0</v>
      </c>
      <c r="X8" s="41">
        <f t="shared" ca="1" si="8"/>
        <v>0</v>
      </c>
      <c r="Y8" s="41">
        <f t="shared" ca="1" si="8"/>
        <v>0</v>
      </c>
      <c r="Z8" s="41">
        <f ca="1">SUMPRODUCT(U$5:Y$5, U8:Y8)/SUM(U$5:Y$5)</f>
        <v>0</v>
      </c>
    </row>
    <row r="9" spans="1:26" x14ac:dyDescent="0.55000000000000004">
      <c r="B9" t="s">
        <v>102</v>
      </c>
      <c r="C9" s="41">
        <f ca="1">(-1/(1-SUM($C$5:$G$5)))*(SUMPRODUCT($C$5:$G$5, $C8:$G8)-C$5*C8+(1-SUM($C$5:$G$5)+C$5)*C8)</f>
        <v>5.6768509703608944E-2</v>
      </c>
      <c r="D9" s="41">
        <f t="shared" ref="D9:G9" ca="1" si="9">(-1/(1-SUM($C$5:$G$5)))*(SUMPRODUCT($C$5:$G$5, $C8:$G8)-D$5*D8+(1-SUM($C$5:$G$5)+D$5)*D8)</f>
        <v>0.12927610975677131</v>
      </c>
      <c r="E9" s="41">
        <f t="shared" ca="1" si="9"/>
        <v>0.1301693637380166</v>
      </c>
      <c r="F9" s="41">
        <f t="shared" ca="1" si="9"/>
        <v>-6.5710911775919673E-2</v>
      </c>
      <c r="G9" s="41">
        <f t="shared" ca="1" si="9"/>
        <v>5.4389563478012083E-2</v>
      </c>
      <c r="H9" s="41">
        <f ca="1">SUMPRODUCT(C$5:G$5, C9:G9)/SUM(C$5:G$5)</f>
        <v>6.6591714001890775E-2</v>
      </c>
      <c r="K9" t="s">
        <v>102</v>
      </c>
      <c r="L9" s="41">
        <f ca="1">(-1/(1-SUM($L$5:$P$5)))*(SUMPRODUCT($L$5:$P$5, $L8:$P8)-L$5*L8+(1-SUM($L$5:$P$5)+L$5)*L8)</f>
        <v>4.2685269219811924E-2</v>
      </c>
      <c r="M9" s="41">
        <f t="shared" ref="M9:P9" ca="1" si="10">(-1/(1-SUM($L$5:$P$5)))*(SUMPRODUCT($L$5:$P$5, $L8:$P8)-M$5*M8+(1-SUM($L$5:$P$5)+M$5)*M8)</f>
        <v>0.1106563472660122</v>
      </c>
      <c r="N9" s="41">
        <f t="shared" ca="1" si="10"/>
        <v>0.11230289662539947</v>
      </c>
      <c r="O9" s="41">
        <f t="shared" ca="1" si="10"/>
        <v>-7.9562460765854562E-2</v>
      </c>
      <c r="P9" s="41">
        <f t="shared" ca="1" si="10"/>
        <v>4.3387158772925045E-2</v>
      </c>
      <c r="Q9" s="41">
        <f ca="1">SUMPRODUCT(L$5:P$5, L9:P9)/SUM(L$5:P$5)</f>
        <v>5.1538013152941257E-2</v>
      </c>
      <c r="T9" t="s">
        <v>102</v>
      </c>
      <c r="U9" s="41">
        <f ca="1">(-1/(1-SUM($U$5:$Y$5)))*(SUMPRODUCT($U$5:$Y$5, $U8:$Y8)-U$5*U8+(1-SUM($U$5:$Y$5)+U$5)*U8)</f>
        <v>0</v>
      </c>
      <c r="V9" s="41">
        <f t="shared" ref="V9:Y9" ca="1" si="11">(-1/(1-SUM($U$5:$Y$5)))*(SUMPRODUCT($U$5:$Y$5, $U8:$Y8)-V$5*V8+(1-SUM($U$5:$Y$5)+V$5)*V8)</f>
        <v>0</v>
      </c>
      <c r="W9" s="41">
        <f t="shared" ca="1" si="11"/>
        <v>0</v>
      </c>
      <c r="X9" s="41">
        <f t="shared" ca="1" si="11"/>
        <v>0</v>
      </c>
      <c r="Y9" s="41">
        <f t="shared" ca="1" si="11"/>
        <v>0</v>
      </c>
      <c r="Z9" s="41">
        <f ca="1">SUMPRODUCT(U$5:Y$5, U9:Y9)/SUM(U$5:Y$5)</f>
        <v>0</v>
      </c>
    </row>
    <row r="10" spans="1:26" x14ac:dyDescent="0.55000000000000004">
      <c r="B10" t="s">
        <v>103</v>
      </c>
      <c r="C10" s="41"/>
      <c r="D10" s="41"/>
      <c r="E10" s="41"/>
      <c r="F10" s="41"/>
      <c r="G10" s="41"/>
      <c r="H10" s="41">
        <f ca="1">SUMPRODUCT(C$5:G$5, C9:G9)</f>
        <v>2.5304851320718497E-2</v>
      </c>
      <c r="K10" t="s">
        <v>103</v>
      </c>
      <c r="L10" s="41"/>
      <c r="M10" s="41"/>
      <c r="N10" s="41"/>
      <c r="O10" s="41"/>
      <c r="P10" s="41"/>
      <c r="Q10" s="41">
        <f ca="1">SUMPRODUCT(L$5:P$5, L9:P9)</f>
        <v>1.9584444998117678E-2</v>
      </c>
      <c r="T10" t="s">
        <v>103</v>
      </c>
      <c r="U10" s="41"/>
      <c r="V10" s="41"/>
      <c r="W10" s="41"/>
      <c r="X10" s="41"/>
      <c r="Y10" s="41"/>
      <c r="Z10" s="41">
        <f ca="1">SUMPRODUCT(U$5:Y$5, U9:Y9)</f>
        <v>0</v>
      </c>
    </row>
    <row r="12" spans="1:26" x14ac:dyDescent="0.55000000000000004">
      <c r="B12" s="82" t="s">
        <v>104</v>
      </c>
      <c r="C12" s="82"/>
      <c r="D12" s="82"/>
      <c r="E12" s="82"/>
      <c r="F12" s="82"/>
      <c r="G12" s="82"/>
      <c r="H12" s="82"/>
      <c r="K12" s="82" t="s">
        <v>104</v>
      </c>
      <c r="L12" s="82"/>
      <c r="M12" s="82"/>
      <c r="N12" s="82"/>
      <c r="O12" s="82"/>
      <c r="P12" s="82"/>
      <c r="Q12" s="82"/>
      <c r="T12" s="82" t="s">
        <v>104</v>
      </c>
      <c r="U12" s="82"/>
      <c r="V12" s="82"/>
      <c r="W12" s="82"/>
      <c r="X12" s="82"/>
      <c r="Y12" s="82"/>
      <c r="Z12" s="82"/>
    </row>
    <row r="13" spans="1:26" x14ac:dyDescent="0.55000000000000004">
      <c r="C13" t="s">
        <v>0</v>
      </c>
      <c r="D13" t="s">
        <v>1</v>
      </c>
      <c r="E13" t="s">
        <v>92</v>
      </c>
      <c r="F13" t="s">
        <v>98</v>
      </c>
      <c r="G13" t="s">
        <v>99</v>
      </c>
      <c r="H13" t="s">
        <v>112</v>
      </c>
      <c r="L13" t="s">
        <v>0</v>
      </c>
      <c r="M13" t="s">
        <v>1</v>
      </c>
      <c r="N13" t="s">
        <v>92</v>
      </c>
      <c r="O13" t="s">
        <v>98</v>
      </c>
      <c r="P13" t="s">
        <v>99</v>
      </c>
      <c r="Q13" t="s">
        <v>112</v>
      </c>
      <c r="U13" t="s">
        <v>0</v>
      </c>
      <c r="V13" t="s">
        <v>1</v>
      </c>
      <c r="W13" t="s">
        <v>92</v>
      </c>
      <c r="X13" t="s">
        <v>98</v>
      </c>
      <c r="Y13" t="s">
        <v>99</v>
      </c>
      <c r="Z13" t="s">
        <v>112</v>
      </c>
    </row>
    <row r="14" spans="1:26" x14ac:dyDescent="0.55000000000000004">
      <c r="B14" t="s">
        <v>111</v>
      </c>
      <c r="C14" s="8">
        <f ca="1">INDIRECT("alpha_p_"&amp;C$2)</f>
        <v>0.12236000000000001</v>
      </c>
      <c r="D14" s="8">
        <f t="shared" ref="D14:G14" ca="1" si="12">INDIRECT("alpha_p_"&amp;D$2)</f>
        <v>0.13109999999999999</v>
      </c>
      <c r="E14" s="8">
        <f t="shared" ca="1" si="12"/>
        <v>6.8779999999999994E-2</v>
      </c>
      <c r="F14" s="8">
        <f t="shared" ca="1" si="12"/>
        <v>2.3179999999999999E-2</v>
      </c>
      <c r="G14" s="8">
        <f t="shared" ca="1" si="12"/>
        <v>3.4200000000000001E-2</v>
      </c>
      <c r="K14" t="s">
        <v>111</v>
      </c>
      <c r="L14" s="8">
        <f ca="1">INDIRECT("alpha_p_"&amp;L$2)</f>
        <v>0.12236000000000001</v>
      </c>
      <c r="M14" s="8">
        <f t="shared" ref="M14:P14" ca="1" si="13">INDIRECT("alpha_p_"&amp;M$2)</f>
        <v>0.13109999999999999</v>
      </c>
      <c r="N14" s="8">
        <f t="shared" ca="1" si="13"/>
        <v>6.8779999999999994E-2</v>
      </c>
      <c r="O14" s="8">
        <f t="shared" ca="1" si="13"/>
        <v>2.3179999999999999E-2</v>
      </c>
      <c r="P14" s="8">
        <f t="shared" ca="1" si="13"/>
        <v>3.4200000000000001E-2</v>
      </c>
      <c r="T14" t="s">
        <v>111</v>
      </c>
      <c r="U14" s="8">
        <f ca="1">INDIRECT("alpha_p_"&amp;U$2)</f>
        <v>0.12236000000000001</v>
      </c>
      <c r="V14" s="8">
        <f t="shared" ref="V14:Y14" ca="1" si="14">INDIRECT("alpha_p_"&amp;V$2)</f>
        <v>0.13109999999999999</v>
      </c>
      <c r="W14" s="8">
        <f t="shared" ca="1" si="14"/>
        <v>6.8779999999999994E-2</v>
      </c>
      <c r="X14" s="8">
        <f t="shared" ca="1" si="14"/>
        <v>2.3179999999999999E-2</v>
      </c>
      <c r="Y14" s="8">
        <f t="shared" ca="1" si="14"/>
        <v>3.4200000000000001E-2</v>
      </c>
    </row>
    <row r="15" spans="1:26" x14ac:dyDescent="0.55000000000000004">
      <c r="A15" t="s">
        <v>100</v>
      </c>
      <c r="B15" t="s">
        <v>93</v>
      </c>
      <c r="C15" s="8">
        <f ca="1">((1-tau_p_0*INDIRECT("lambda_"&amp;C$2&amp;$A15))/(1-tau_p_0))*(rho+INDIRECT("delta_"&amp;C$2))-0.5*(tau_p_0/(1-tau_p_0))*pct_debt*i_bond*(1-debt_lim_0)</f>
        <v>0.18384726726305334</v>
      </c>
      <c r="D15" s="8">
        <f ca="1">((1-tau_p_0*INDIRECT("lambda_"&amp;D$2&amp;$A15))/(1-tau_p_0))*(rho+INDIRECT("delta_"&amp;D$2))-0.5*(tau_p_0/(1-tau_p_0))*pct_debt*i_bond*(1-debt_lim_0)</f>
        <v>0.13520204643752942</v>
      </c>
      <c r="E15" s="8">
        <f ca="1">((1-tau_p_0*INDIRECT("lambda_"&amp;E$2&amp;$A15))/(1-tau_p_0))*(rho+INDIRECT("delta_"&amp;E$2))-0.5*(tau_p_0/(1-tau_p_0))*pct_debt*i_bond*(1-debt_lim_0)</f>
        <v>0.14481108875344662</v>
      </c>
      <c r="F15" s="8">
        <f ca="1">((1-tau_p_0*INDIRECT("lambda_"&amp;F$2&amp;$A15))/(1-tau_p_0))*(rho+INDIRECT("delta_"&amp;F$2))-0.5*(tau_p_0/(1-tau_p_0))*pct_debt*i_bond*(1-debt_lim_0)</f>
        <v>0.20052345679012348</v>
      </c>
      <c r="G15" s="8">
        <f ca="1">((1-tau_p_0*INDIRECT("lambda_"&amp;G$2&amp;$A15))/(1-tau_p_0))*(rho+INDIRECT("delta_"&amp;G$2))-0.5*(tau_p_0/(1-tau_p_0))*pct_debt*i_bond*(1-debt_lim_0)</f>
        <v>0.29835852708664706</v>
      </c>
      <c r="H15" s="7"/>
      <c r="J15" t="s">
        <v>100</v>
      </c>
      <c r="K15" t="s">
        <v>93</v>
      </c>
      <c r="L15" s="8">
        <f ca="1">((1-tau_p_0*INDIRECT("lambda_"&amp;L$2&amp;$J15))/(1-tau_p_0))*(rho+INDIRECT("delta_"&amp;L$2))-0.5*(tau_p_0/(1-tau_p_0))*pct_debt*i_bond*(1-debt_lim_0)</f>
        <v>0.18384726726305334</v>
      </c>
      <c r="M15" s="8">
        <f ca="1">((1-tau_p_0*INDIRECT("lambda_"&amp;M$2&amp;$J15))/(1-tau_p_0))*(rho+INDIRECT("delta_"&amp;M$2))-0.5*(tau_p_0/(1-tau_p_0))*pct_debt*i_bond*(1-debt_lim_0)</f>
        <v>0.13520204643752942</v>
      </c>
      <c r="N15" s="8">
        <f ca="1">((1-tau_p_0*INDIRECT("lambda_"&amp;N$2&amp;$J15))/(1-tau_p_0))*(rho+INDIRECT("delta_"&amp;N$2))-0.5*(tau_p_0/(1-tau_p_0))*pct_debt*i_bond*(1-debt_lim_0)</f>
        <v>0.14481108875344662</v>
      </c>
      <c r="O15" s="8">
        <f ca="1">((1-tau_p_0*INDIRECT("lambda_"&amp;O$2&amp;$J15))/(1-tau_p_0))*(rho+INDIRECT("delta_"&amp;O$2))-0.5*(tau_p_0/(1-tau_p_0))*pct_debt*i_bond*(1-debt_lim_0)</f>
        <v>0.20052345679012348</v>
      </c>
      <c r="P15" s="8">
        <f ca="1">((1-tau_p_0*INDIRECT("lambda_"&amp;P$2&amp;$J15))/(1-tau_p_0))*(rho+INDIRECT("delta_"&amp;P$2))-0.5*(tau_p_0/(1-tau_p_0))*pct_debt*i_bond*(1-debt_lim_0)</f>
        <v>0.29835852708664706</v>
      </c>
      <c r="Q15" s="7"/>
      <c r="S15" t="s">
        <v>235</v>
      </c>
      <c r="T15" t="s">
        <v>237</v>
      </c>
      <c r="U15" s="8">
        <f ca="1">((1-tau_p_B*INDIRECT("lambda_"&amp;U$2&amp;$S15))/(1-tau_p_B))*(rho+INDIRECT("delta_"&amp;U$2))-0.5*(tau_p_B/(1-tau_p_B))*pct_debt*i_bond*(1-debt_lim_B)</f>
        <v>0.18384726726305334</v>
      </c>
      <c r="V15" s="8">
        <f ca="1">((1-tau_p_B*INDIRECT("lambda_"&amp;V$2&amp;$S15))/(1-tau_p_B))*(rho+INDIRECT("delta_"&amp;V$2))-0.5*(tau_p_B/(1-tau_p_B))*pct_debt*i_bond*(1-debt_lim_B)</f>
        <v>0.13520204643752942</v>
      </c>
      <c r="W15" s="8">
        <f ca="1">((1-tau_p_B*INDIRECT("lambda_"&amp;W$2&amp;$S15))/(1-tau_p_B))*(rho+INDIRECT("delta_"&amp;W$2))-0.5*(tau_p_B/(1-tau_p_B))*pct_debt*i_bond*(1-debt_lim_B)</f>
        <v>0.14481108875344662</v>
      </c>
      <c r="X15" s="8">
        <f ca="1">((1-tau_p_B*INDIRECT("lambda_"&amp;X$2&amp;$S15))/(1-tau_p_B))*(rho+INDIRECT("delta_"&amp;X$2))-0.5*(tau_p_B/(1-tau_p_B))*pct_debt*i_bond*(1-debt_lim_B)</f>
        <v>0.20052345679012348</v>
      </c>
      <c r="Y15" s="8">
        <f ca="1">((1-tau_p_B*INDIRECT("lambda_"&amp;Y$2&amp;$S15))/(1-tau_p_B))*(rho+INDIRECT("delta_"&amp;Y$2))-0.5*(tau_p_B/(1-tau_p_B))*pct_debt*i_bond*(1-debt_lim_B)</f>
        <v>0.29835852708664706</v>
      </c>
      <c r="Z15" s="7"/>
    </row>
    <row r="16" spans="1:26" x14ac:dyDescent="0.55000000000000004">
      <c r="A16" t="s">
        <v>78</v>
      </c>
      <c r="B16" t="s">
        <v>94</v>
      </c>
      <c r="C16" s="8">
        <f ca="1">((1-tau_p_1*INDIRECT("lambda_"&amp;C$2&amp;$A16))/(1-tau_p_1))*(rho+INDIRECT("delta_"&amp;C$2))-0.5*(tau_p_1/(1-tau_p_1))*pct_debt*i_bond*(1-debt_lim_1)</f>
        <v>0.18455861064655033</v>
      </c>
      <c r="D16" s="8">
        <f ca="1">((1-tau_p_1*INDIRECT("lambda_"&amp;D$2&amp;$A16))/(1-tau_p_1))*(rho+INDIRECT("delta_"&amp;D$2))-0.5*(tau_p_1/(1-tau_p_1))*pct_debt*i_bond*(1-debt_lim_1)</f>
        <v>0.13616913478897669</v>
      </c>
      <c r="E16" s="8">
        <f ca="1">((1-tau_p_1*INDIRECT("lambda_"&amp;E$2&amp;$A16))/(1-tau_p_1))*(rho+INDIRECT("delta_"&amp;E$2))-0.5*(tau_p_1/(1-tau_p_1))*pct_debt*i_bond*(1-debt_lim_1)</f>
        <v>0.14581265176551647</v>
      </c>
      <c r="F16" s="8">
        <f ca="1">((1-tau_p_1*INDIRECT("lambda_"&amp;F$2&amp;$A16))/(1-tau_p_1))*(rho+INDIRECT("delta_"&amp;F$2))-0.5*(tau_p_1/(1-tau_p_1))*pct_debt*i_bond*(1-debt_lim_1)</f>
        <v>0.22516589709482279</v>
      </c>
      <c r="G16" s="8">
        <f ca="1">((1-tau_p_1*INDIRECT("lambda_"&amp;G$2&amp;$A16))/(1-tau_p_1))*(rho+INDIRECT("delta_"&amp;G$2))-0.5*(tau_p_1/(1-tau_p_1))*pct_debt*i_bond*(1-debt_lim_1)</f>
        <v>0.29915590720142837</v>
      </c>
      <c r="H16" s="7"/>
      <c r="J16" t="s">
        <v>125</v>
      </c>
      <c r="K16" t="s">
        <v>94</v>
      </c>
      <c r="L16" s="8">
        <f ca="1">((1-tau_p_1*INDIRECT("lambda_"&amp;L$2&amp;$J16))/(1-tau_p_1))*(rho+int_crowdout+INDIRECT("delta_"&amp;L$2))-0.5*(tau_p_1/(1-tau_p_1))*pct_debt*(i_bond+int_crowdout)*(1-debt_lim_1)</f>
        <v>0.18618530782420956</v>
      </c>
      <c r="M16" s="8">
        <f ca="1">((1-tau_p_1*INDIRECT("lambda_"&amp;M$2&amp;$J16))/(1-tau_p_1))*(rho+int_crowdout+INDIRECT("delta_"&amp;M$2))-0.5*(tau_p_1/(1-tau_p_1))*pct_debt*(i_bond+int_crowdout)*(1-debt_lim_1)</f>
        <v>0.13816283299452148</v>
      </c>
      <c r="N16" s="8">
        <f ca="1">((1-tau_p_1*INDIRECT("lambda_"&amp;N$2&amp;$J16))/(1-tau_p_1))*(rho+int_crowdout+INDIRECT("delta_"&amp;N$2))-0.5*(tau_p_1/(1-tau_p_1))*pct_debt*(i_bond+int_crowdout)*(1-debt_lim_1)</f>
        <v>0.14782974534384474</v>
      </c>
      <c r="O16" s="8">
        <f ca="1">((1-tau_p_1*INDIRECT("lambda_"&amp;O$2&amp;$J16))/(1-tau_p_1))*(rho+int_crowdout+INDIRECT("delta_"&amp;O$2))-0.5*(tau_p_1/(1-tau_p_1))*pct_debt*(i_bond+int_crowdout)*(1-debt_lim_1)</f>
        <v>0.22688706654200627</v>
      </c>
      <c r="P16" s="8">
        <f ca="1">((1-tau_p_1*INDIRECT("lambda_"&amp;P$2&amp;$J16))/(1-tau_p_1))*(rho+int_crowdout+INDIRECT("delta_"&amp;P$2))-0.5*(tau_p_1/(1-tau_p_1))*pct_debt*(i_bond+int_crowdout)*(1-debt_lim_1)</f>
        <v>0.3008382352225118</v>
      </c>
      <c r="Q16" s="7"/>
      <c r="S16" t="s">
        <v>100</v>
      </c>
      <c r="T16" t="s">
        <v>238</v>
      </c>
      <c r="U16" s="8">
        <f ca="1">((1-tau_p_0*INDIRECT("lambda_"&amp;U$2&amp;$S16))/(1-tau_p_0))*(rho+INDIRECT("delta_"&amp;U$2))-0.5*(tau_p_0/(1-tau_p_0))*pct_debt*i_bond*(1-debt_lim_0)</f>
        <v>0.18384726726305334</v>
      </c>
      <c r="V16" s="8">
        <f ca="1">((1-tau_p_0*INDIRECT("lambda_"&amp;V$2&amp;$S16))/(1-tau_p_0))*(rho+INDIRECT("delta_"&amp;V$2))-0.5*(tau_p_0/(1-tau_p_0))*pct_debt*i_bond*(1-debt_lim_0)</f>
        <v>0.13520204643752942</v>
      </c>
      <c r="W16" s="8">
        <f ca="1">((1-tau_p_0*INDIRECT("lambda_"&amp;W$2&amp;$S16))/(1-tau_p_0))*(rho+INDIRECT("delta_"&amp;W$2))-0.5*(tau_p_0/(1-tau_p_0))*pct_debt*i_bond*(1-debt_lim_0)</f>
        <v>0.14481108875344662</v>
      </c>
      <c r="X16" s="8">
        <f ca="1">((1-tau_p_0*INDIRECT("lambda_"&amp;X$2&amp;$S16))/(1-tau_p_0))*(rho+INDIRECT("delta_"&amp;X$2))-0.5*(tau_p_0/(1-tau_p_0))*pct_debt*i_bond*(1-debt_lim_0)</f>
        <v>0.20052345679012348</v>
      </c>
      <c r="Y16" s="8">
        <f ca="1">((1-tau_p_0*INDIRECT("lambda_"&amp;Y$2&amp;$S16))/(1-tau_p_0))*(rho+INDIRECT("delta_"&amp;Y$2))-0.5*(tau_p_0/(1-tau_p_0))*pct_debt*i_bond*(1-debt_lim_0)</f>
        <v>0.29835852708664706</v>
      </c>
      <c r="Z16" s="7"/>
    </row>
    <row r="17" spans="2:26" x14ac:dyDescent="0.55000000000000004">
      <c r="B17" t="s">
        <v>95</v>
      </c>
      <c r="C17" s="41">
        <f ca="1">C16/C15-1</f>
        <v>3.869208360215648E-3</v>
      </c>
      <c r="D17" s="41">
        <f t="shared" ref="D17" ca="1" si="15">D16/D15-1</f>
        <v>7.1529120818012437E-3</v>
      </c>
      <c r="E17" s="41">
        <f t="shared" ref="E17" ca="1" si="16">E16/E15-1</f>
        <v>6.9163419783073721E-3</v>
      </c>
      <c r="F17" s="41">
        <f t="shared" ref="F17" ca="1" si="17">F16/F15-1</f>
        <v>0.12289056202781867</v>
      </c>
      <c r="G17" s="41">
        <f t="shared" ref="G17" ca="1" si="18">G16/G15-1</f>
        <v>2.6725568146732659E-3</v>
      </c>
      <c r="H17" s="41">
        <f ca="1">SUMPRODUCT(C$14:G$14, C17:G17)/SUM(C$14:G$14)</f>
        <v>1.2715067122424456E-2</v>
      </c>
      <c r="K17" t="s">
        <v>95</v>
      </c>
      <c r="L17" s="41">
        <f ca="1">L16/L15-1</f>
        <v>1.2717298418207568E-2</v>
      </c>
      <c r="M17" s="41">
        <f t="shared" ref="M17" ca="1" si="19">M16/M15-1</f>
        <v>2.1898977382417861E-2</v>
      </c>
      <c r="N17" s="41">
        <f t="shared" ref="N17" ca="1" si="20">N16/N15-1</f>
        <v>2.0845479558113444E-2</v>
      </c>
      <c r="O17" s="41">
        <f t="shared" ref="O17" ca="1" si="21">O16/O15-1</f>
        <v>0.13147394411555591</v>
      </c>
      <c r="P17" s="41">
        <f t="shared" ref="P17" ca="1" si="22">P16/P15-1</f>
        <v>8.3111689820904999E-3</v>
      </c>
      <c r="Q17" s="41">
        <f ca="1">SUMPRODUCT(L$14:P$14, L17:P17)/SUM(L$14:P$14)</f>
        <v>2.4215280167219806E-2</v>
      </c>
      <c r="T17" t="s">
        <v>95</v>
      </c>
      <c r="U17" s="41">
        <f ca="1">U16/U15-1</f>
        <v>0</v>
      </c>
      <c r="V17" s="41">
        <f t="shared" ref="V17:Y17" ca="1" si="23">V16/V15-1</f>
        <v>0</v>
      </c>
      <c r="W17" s="41">
        <f t="shared" ca="1" si="23"/>
        <v>0</v>
      </c>
      <c r="X17" s="41">
        <f t="shared" ca="1" si="23"/>
        <v>0</v>
      </c>
      <c r="Y17" s="41">
        <f t="shared" ca="1" si="23"/>
        <v>0</v>
      </c>
      <c r="Z17" s="41">
        <f ca="1">SUMPRODUCT(U$14:Y$14, U17:Y17)/SUM(U$14:Y$14)</f>
        <v>0</v>
      </c>
    </row>
    <row r="18" spans="2:26" x14ac:dyDescent="0.55000000000000004">
      <c r="B18" t="s">
        <v>102</v>
      </c>
      <c r="C18" s="41">
        <f ca="1">(-1/(1-SUM($C$14:$G$14)))*(SUMPRODUCT($C$14:$G$14, $C17:$G17)-C$14*C17+(1-SUM($C$14:$G$14)+C$14)*C17)</f>
        <v>-1.1649752189827778E-2</v>
      </c>
      <c r="D18" s="41">
        <f t="shared" ref="D18:G18" ca="1" si="24">(-1/(1-SUM($C$14:$G$14)))*(SUMPRODUCT($C$14:$G$14, $C17:$G17)-D$14*D17+(1-SUM($C$14:$G$14)+D$14)*D17)</f>
        <v>-1.4933455911413374E-2</v>
      </c>
      <c r="E18" s="41">
        <f t="shared" ca="1" si="24"/>
        <v>-1.46968858079195E-2</v>
      </c>
      <c r="F18" s="41">
        <f t="shared" ca="1" si="24"/>
        <v>-0.1306711058574308</v>
      </c>
      <c r="G18" s="41">
        <f t="shared" ca="1" si="24"/>
        <v>-1.0453100644285396E-2</v>
      </c>
      <c r="H18" s="41">
        <f ca="1">SUMPRODUCT(C$14:G$14, C18:G18)/SUM(C$14:G$14)</f>
        <v>-2.0495610952036586E-2</v>
      </c>
      <c r="K18" t="s">
        <v>102</v>
      </c>
      <c r="L18" s="41">
        <f ca="1">(-1/(1-SUM($L$14:$P$14)))*(SUMPRODUCT($L$14:$P$14, $L17:$P17)-L$14*L17+(1-SUM($L$14:$P$14)+L$14)*L17)</f>
        <v>-2.7534998307114342E-2</v>
      </c>
      <c r="M18" s="41">
        <f t="shared" ref="M18:P18" ca="1" si="25">(-1/(1-SUM($L$14:$P$14)))*(SUMPRODUCT($L$14:$P$14, $L17:$P17)-M$14*M17+(1-SUM($L$14:$P$14)+M$14)*M17)</f>
        <v>-3.6716677271324633E-2</v>
      </c>
      <c r="N18" s="41">
        <f t="shared" ca="1" si="25"/>
        <v>-3.5663179447020216E-2</v>
      </c>
      <c r="O18" s="41">
        <f t="shared" ca="1" si="25"/>
        <v>-0.14629164400446268</v>
      </c>
      <c r="P18" s="41">
        <f t="shared" ca="1" si="25"/>
        <v>-2.3128868870997278E-2</v>
      </c>
      <c r="Q18" s="41">
        <f ca="1">SUMPRODUCT(L$14:P$14, L18:P18)/SUM(L$14:P$14)</f>
        <v>-3.9032980056126584E-2</v>
      </c>
      <c r="T18" t="s">
        <v>102</v>
      </c>
      <c r="U18" s="41">
        <f ca="1">(-1/(1-SUM($U$14:$Y$14)))*(SUMPRODUCT($U$14:$Y$14, $U17:$Y17)-U$14*U17+(1-SUM($U$14:$Y$14)+U$14)*U17)</f>
        <v>0</v>
      </c>
      <c r="V18" s="41">
        <f t="shared" ref="V18:Y18" ca="1" si="26">(-1/(1-SUM($U$14:$Y$14)))*(SUMPRODUCT($U$14:$Y$14, $U17:$Y17)-V$14*V17+(1-SUM($U$14:$Y$14)+V$14)*V17)</f>
        <v>0</v>
      </c>
      <c r="W18" s="41">
        <f t="shared" ca="1" si="26"/>
        <v>0</v>
      </c>
      <c r="X18" s="41">
        <f t="shared" ca="1" si="26"/>
        <v>0</v>
      </c>
      <c r="Y18" s="41">
        <f t="shared" ca="1" si="26"/>
        <v>0</v>
      </c>
      <c r="Z18" s="41">
        <f ca="1">SUMPRODUCT(U$14:Y$14, U18:Y18)/SUM(U$14:Y$14)</f>
        <v>0</v>
      </c>
    </row>
    <row r="19" spans="2:26" x14ac:dyDescent="0.55000000000000004">
      <c r="B19" t="s">
        <v>103</v>
      </c>
      <c r="C19" s="41"/>
      <c r="D19" s="41"/>
      <c r="E19" s="41"/>
      <c r="F19" s="41"/>
      <c r="G19" s="41"/>
      <c r="H19" s="41">
        <f ca="1">SUMPRODUCT(C$14:G$14, C18:G18)</f>
        <v>-7.780543829612129E-3</v>
      </c>
      <c r="K19" t="s">
        <v>103</v>
      </c>
      <c r="L19" s="41"/>
      <c r="M19" s="41"/>
      <c r="N19" s="41"/>
      <c r="O19" s="41"/>
      <c r="P19" s="41"/>
      <c r="Q19" s="41">
        <f ca="1">SUMPRODUCT(L$14:P$14, L18:P18)</f>
        <v>-1.4817699888906775E-2</v>
      </c>
      <c r="T19" t="s">
        <v>103</v>
      </c>
      <c r="U19" s="41"/>
      <c r="V19" s="41"/>
      <c r="W19" s="41"/>
      <c r="X19" s="41"/>
      <c r="Y19" s="41"/>
      <c r="Z19" s="41">
        <f ca="1">SUMPRODUCT(U$14:Y$14, U18:Y18)</f>
        <v>0</v>
      </c>
    </row>
    <row r="21" spans="2:26" x14ac:dyDescent="0.55000000000000004">
      <c r="B21" s="83" t="s">
        <v>113</v>
      </c>
      <c r="C21" s="83"/>
      <c r="D21" s="83"/>
      <c r="E21" s="83"/>
      <c r="F21" s="83"/>
      <c r="G21" s="83"/>
      <c r="H21" s="83"/>
      <c r="K21" s="83" t="s">
        <v>113</v>
      </c>
      <c r="L21" s="83"/>
      <c r="M21" s="83"/>
      <c r="N21" s="83"/>
      <c r="O21" s="83"/>
      <c r="P21" s="83"/>
      <c r="Q21" s="83"/>
      <c r="T21" s="83" t="s">
        <v>113</v>
      </c>
      <c r="U21" s="83"/>
      <c r="V21" s="83"/>
      <c r="W21" s="83"/>
      <c r="X21" s="83"/>
      <c r="Y21" s="83"/>
      <c r="Z21" s="83"/>
    </row>
    <row r="22" spans="2:26" x14ac:dyDescent="0.55000000000000004">
      <c r="B22" s="43"/>
      <c r="C22" s="43" t="s">
        <v>114</v>
      </c>
      <c r="D22" t="s">
        <v>115</v>
      </c>
      <c r="E22" t="s">
        <v>116</v>
      </c>
      <c r="F22" t="s">
        <v>90</v>
      </c>
      <c r="K22" s="43"/>
      <c r="L22" s="43" t="s">
        <v>114</v>
      </c>
      <c r="M22" t="s">
        <v>115</v>
      </c>
      <c r="N22" t="s">
        <v>116</v>
      </c>
      <c r="O22" t="s">
        <v>90</v>
      </c>
      <c r="T22" s="43"/>
      <c r="U22" s="43" t="s">
        <v>114</v>
      </c>
      <c r="V22" t="s">
        <v>115</v>
      </c>
      <c r="W22" t="s">
        <v>116</v>
      </c>
      <c r="X22" t="s">
        <v>90</v>
      </c>
    </row>
    <row r="23" spans="2:26" x14ac:dyDescent="0.55000000000000004">
      <c r="B23" t="s">
        <v>121</v>
      </c>
      <c r="C23" s="50">
        <f ca="1">H10</f>
        <v>2.5304851320718497E-2</v>
      </c>
      <c r="D23" s="48">
        <f ca="1">H19</f>
        <v>-7.780543829612129E-3</v>
      </c>
      <c r="E23" s="48">
        <v>0</v>
      </c>
      <c r="F23" s="45"/>
      <c r="H23" s="46"/>
      <c r="K23" t="s">
        <v>121</v>
      </c>
      <c r="L23" s="50">
        <f ca="1">Q10</f>
        <v>1.9584444998117678E-2</v>
      </c>
      <c r="M23" s="48">
        <f ca="1">Q19</f>
        <v>-1.4817699888906775E-2</v>
      </c>
      <c r="N23" s="48">
        <v>0</v>
      </c>
      <c r="O23" s="45"/>
      <c r="Q23" s="46"/>
      <c r="T23" t="s">
        <v>121</v>
      </c>
      <c r="U23" s="50">
        <f ca="1">Z10</f>
        <v>0</v>
      </c>
      <c r="V23" s="48">
        <f ca="1">Z19</f>
        <v>0</v>
      </c>
      <c r="W23" s="48">
        <v>0</v>
      </c>
      <c r="X23" s="45"/>
      <c r="Z23" s="46"/>
    </row>
    <row r="24" spans="2:26" x14ac:dyDescent="0.55000000000000004">
      <c r="B24" t="s">
        <v>122</v>
      </c>
      <c r="C24" s="50">
        <f>sect_shift_1-sect_shift_0</f>
        <v>6.8000000000000005E-2</v>
      </c>
      <c r="D24" s="48">
        <f>-C24</f>
        <v>-6.8000000000000005E-2</v>
      </c>
      <c r="E24" s="48">
        <v>0</v>
      </c>
      <c r="F24" s="45"/>
      <c r="H24" s="46"/>
      <c r="K24" t="s">
        <v>122</v>
      </c>
      <c r="L24" s="50">
        <f>sect_shift_1-sect_shift_0</f>
        <v>6.8000000000000005E-2</v>
      </c>
      <c r="M24" s="48">
        <f>-L24</f>
        <v>-6.8000000000000005E-2</v>
      </c>
      <c r="N24" s="48">
        <v>0</v>
      </c>
      <c r="O24" s="45"/>
      <c r="Q24" s="46"/>
      <c r="T24" t="s">
        <v>122</v>
      </c>
      <c r="U24" s="50">
        <f>sect_shift_0-sect_shift_B</f>
        <v>0</v>
      </c>
      <c r="V24" s="48">
        <f>-U24</f>
        <v>0</v>
      </c>
      <c r="W24" s="48">
        <v>0</v>
      </c>
      <c r="X24" s="45"/>
      <c r="Z24" s="46"/>
    </row>
    <row r="25" spans="2:26" x14ac:dyDescent="0.55000000000000004">
      <c r="B25" t="s">
        <v>117</v>
      </c>
      <c r="C25" s="44">
        <f ca="1">U27</f>
        <v>0.39</v>
      </c>
      <c r="D25" s="44">
        <f t="shared" ref="D25:E25" ca="1" si="27">V27</f>
        <v>0.36</v>
      </c>
      <c r="E25" s="44">
        <f t="shared" ca="1" si="27"/>
        <v>0.25</v>
      </c>
      <c r="F25" s="48">
        <f ca="1">SUM(C25:E25)</f>
        <v>1</v>
      </c>
      <c r="H25" s="46"/>
      <c r="K25" t="s">
        <v>117</v>
      </c>
      <c r="L25" s="44">
        <f ca="1">U27</f>
        <v>0.39</v>
      </c>
      <c r="M25" s="44">
        <f t="shared" ref="M25:N25" ca="1" si="28">V27</f>
        <v>0.36</v>
      </c>
      <c r="N25" s="44">
        <f t="shared" ca="1" si="28"/>
        <v>0.25</v>
      </c>
      <c r="O25" s="48">
        <f ca="1">SUM(L25:N25)</f>
        <v>1</v>
      </c>
      <c r="Q25" s="46"/>
      <c r="T25" t="s">
        <v>117</v>
      </c>
      <c r="U25" s="44">
        <f>va_c+sect_shift_0</f>
        <v>0.39</v>
      </c>
      <c r="V25" s="45">
        <f>va_p-sect_shift_0</f>
        <v>0.36</v>
      </c>
      <c r="W25" s="45">
        <f>va_g</f>
        <v>0.25</v>
      </c>
      <c r="X25" s="48">
        <f>SUM(U25:W25)</f>
        <v>1</v>
      </c>
      <c r="Z25" s="46"/>
    </row>
    <row r="26" spans="2:26" x14ac:dyDescent="0.55000000000000004">
      <c r="B26" t="s">
        <v>118</v>
      </c>
      <c r="C26" s="44">
        <f ca="1">(C25+C24)*(1+C23)</f>
        <v>0.46958962190488912</v>
      </c>
      <c r="D26" s="44">
        <f t="shared" ref="D26:E26" ca="1" si="29">(D25+D24)*(1+D23)</f>
        <v>0.28972808120175325</v>
      </c>
      <c r="E26" s="44">
        <f t="shared" ca="1" si="29"/>
        <v>0.25</v>
      </c>
      <c r="F26" s="48">
        <f ca="1">SUM(C26:E26)</f>
        <v>1.0093177031066425</v>
      </c>
      <c r="H26" s="46"/>
      <c r="K26" t="s">
        <v>118</v>
      </c>
      <c r="L26" s="44">
        <f ca="1">(L25+L24)*(1+L23)</f>
        <v>0.46696967580913795</v>
      </c>
      <c r="M26" s="44">
        <f t="shared" ref="M26" ca="1" si="30">(M25+M24)*(1+M23)</f>
        <v>0.28767323163243919</v>
      </c>
      <c r="N26" s="44">
        <f t="shared" ref="N26" ca="1" si="31">(N25+N24)*(1+N23)</f>
        <v>0.25</v>
      </c>
      <c r="O26" s="48">
        <f ca="1">SUM(L26:N26)</f>
        <v>1.004642907441577</v>
      </c>
      <c r="Q26" s="46"/>
      <c r="T26" t="s">
        <v>239</v>
      </c>
      <c r="U26" s="44">
        <f ca="1">(U25+U24)*(1+U23)</f>
        <v>0.39</v>
      </c>
      <c r="V26" s="44">
        <f t="shared" ref="V26:W26" ca="1" si="32">(V25+V24)*(1+V23)</f>
        <v>0.36</v>
      </c>
      <c r="W26" s="44">
        <f t="shared" si="32"/>
        <v>0.25</v>
      </c>
      <c r="X26" s="48">
        <f ca="1">SUM(U26:W26)</f>
        <v>1</v>
      </c>
      <c r="Z26" s="46"/>
    </row>
    <row r="27" spans="2:26" x14ac:dyDescent="0.55000000000000004">
      <c r="B27" t="s">
        <v>119</v>
      </c>
      <c r="C27" s="47">
        <f ca="1">C26/$F26</f>
        <v>0.4652545184331055</v>
      </c>
      <c r="D27" s="47">
        <f t="shared" ref="D27:E27" ca="1" si="33">D26/$F26</f>
        <v>0.28705340281853864</v>
      </c>
      <c r="E27" s="47">
        <f t="shared" ca="1" si="33"/>
        <v>0.24769207874835572</v>
      </c>
      <c r="F27" s="48">
        <f ca="1">SUM(C27:E27)</f>
        <v>0.99999999999999989</v>
      </c>
      <c r="H27" s="46"/>
      <c r="K27" t="s">
        <v>119</v>
      </c>
      <c r="L27" s="47">
        <f ca="1">L26/$F26</f>
        <v>0.46265875885444452</v>
      </c>
      <c r="M27" s="47">
        <f t="shared" ref="M27" ca="1" si="34">M26/$F26</f>
        <v>0.28501752297318439</v>
      </c>
      <c r="N27" s="47">
        <f t="shared" ref="N27" ca="1" si="35">N26/$F26</f>
        <v>0.24769207874835572</v>
      </c>
      <c r="O27" s="48">
        <f ca="1">SUM(L27:N27)</f>
        <v>0.99536836057598466</v>
      </c>
      <c r="Q27" s="46"/>
      <c r="T27" t="s">
        <v>240</v>
      </c>
      <c r="U27" s="75">
        <f ca="1">U26/$X26</f>
        <v>0.39</v>
      </c>
      <c r="V27" s="75">
        <f t="shared" ref="V27:W27" ca="1" si="36">V26/$X26</f>
        <v>0.36</v>
      </c>
      <c r="W27" s="75">
        <f t="shared" ca="1" si="36"/>
        <v>0.25</v>
      </c>
      <c r="X27" s="48">
        <f ca="1">SUM(U27:W27)</f>
        <v>1</v>
      </c>
      <c r="Z27" s="46"/>
    </row>
    <row r="28" spans="2:26" x14ac:dyDescent="0.55000000000000004">
      <c r="B28" t="s">
        <v>120</v>
      </c>
      <c r="C28" s="47">
        <f ca="1">C26/C25-1</f>
        <v>0.20407595360227981</v>
      </c>
      <c r="D28" s="47">
        <f t="shared" ref="D28:F28" ca="1" si="37">D26/D25-1</f>
        <v>-0.19519977443957426</v>
      </c>
      <c r="E28" s="47">
        <f t="shared" ca="1" si="37"/>
        <v>0</v>
      </c>
      <c r="F28" s="47">
        <f t="shared" ca="1" si="37"/>
        <v>9.3177031066424831E-3</v>
      </c>
      <c r="H28" s="47"/>
      <c r="K28" t="s">
        <v>120</v>
      </c>
      <c r="L28" s="47">
        <f ca="1">L26/L25-1</f>
        <v>0.19735814310035371</v>
      </c>
      <c r="M28" s="47">
        <f t="shared" ref="M28:O28" ca="1" si="38">M26/M25-1</f>
        <v>-0.20090768990989116</v>
      </c>
      <c r="N28" s="47">
        <f t="shared" ca="1" si="38"/>
        <v>0</v>
      </c>
      <c r="O28" s="47">
        <f t="shared" ca="1" si="38"/>
        <v>4.6429074415770266E-3</v>
      </c>
      <c r="Q28" s="47"/>
      <c r="T28" t="s">
        <v>120</v>
      </c>
      <c r="U28" s="47">
        <f ca="1">U26/U25-1</f>
        <v>0</v>
      </c>
      <c r="V28" s="47">
        <f t="shared" ref="V28:X28" ca="1" si="39">V26/V25-1</f>
        <v>0</v>
      </c>
      <c r="W28" s="47">
        <f t="shared" si="39"/>
        <v>0</v>
      </c>
      <c r="X28" s="47">
        <f t="shared" ca="1" si="39"/>
        <v>0</v>
      </c>
      <c r="Z28" s="47"/>
    </row>
    <row r="29" spans="2:26" x14ac:dyDescent="0.55000000000000004">
      <c r="B29" t="s">
        <v>123</v>
      </c>
      <c r="C29" s="49">
        <f ca="1">C26+(1+C23)*0.1*C24</f>
        <v>0.47656169489387001</v>
      </c>
      <c r="D29" s="49">
        <f ca="1">D26</f>
        <v>0.28972808120175325</v>
      </c>
      <c r="E29" s="49">
        <f ca="1">E26</f>
        <v>0.25</v>
      </c>
      <c r="F29" s="49">
        <f ca="1">SUM(C29:E29)</f>
        <v>1.0162897760956233</v>
      </c>
      <c r="H29" s="46"/>
      <c r="K29" t="s">
        <v>123</v>
      </c>
      <c r="L29" s="49">
        <f ca="1">L26+(1+L23)*0.1*L24</f>
        <v>0.47390285003512517</v>
      </c>
      <c r="M29" s="49">
        <f ca="1">M26</f>
        <v>0.28767323163243919</v>
      </c>
      <c r="N29" s="49">
        <f ca="1">N26</f>
        <v>0.25</v>
      </c>
      <c r="O29" s="49">
        <f ca="1">SUM(L29:N29)</f>
        <v>1.0115760816675643</v>
      </c>
      <c r="Q29" s="46"/>
      <c r="U29" s="49"/>
      <c r="V29" s="49"/>
      <c r="W29" s="49"/>
      <c r="X29" s="49"/>
      <c r="Z29" s="46"/>
    </row>
    <row r="30" spans="2:26" x14ac:dyDescent="0.55000000000000004">
      <c r="B30" t="s">
        <v>124</v>
      </c>
      <c r="C30" s="47">
        <f ca="1">C29/C25-1</f>
        <v>0.22195306383043589</v>
      </c>
      <c r="D30" s="47">
        <f t="shared" ref="D30:F30" ca="1" si="40">D29/D25-1</f>
        <v>-0.19519977443957426</v>
      </c>
      <c r="E30" s="47">
        <f t="shared" ca="1" si="40"/>
        <v>0</v>
      </c>
      <c r="F30" s="47">
        <f t="shared" ca="1" si="40"/>
        <v>1.6289776095623321E-2</v>
      </c>
      <c r="H30" s="47"/>
      <c r="K30" t="s">
        <v>124</v>
      </c>
      <c r="L30" s="47">
        <f ca="1">L29/L25-1</f>
        <v>0.21513551291057742</v>
      </c>
      <c r="M30" s="47">
        <f t="shared" ref="M30" ca="1" si="41">M29/M25-1</f>
        <v>-0.20090768990989116</v>
      </c>
      <c r="N30" s="47">
        <f t="shared" ref="N30" ca="1" si="42">N29/N25-1</f>
        <v>0</v>
      </c>
      <c r="O30" s="47">
        <f t="shared" ref="O30" ca="1" si="43">O29/O25-1</f>
        <v>1.1576081667564297E-2</v>
      </c>
      <c r="Q30" s="47"/>
      <c r="U30" s="47"/>
      <c r="V30" s="47"/>
      <c r="W30" s="47"/>
      <c r="X30" s="47"/>
      <c r="Z30" s="47"/>
    </row>
  </sheetData>
  <mergeCells count="12">
    <mergeCell ref="T1:Z1"/>
    <mergeCell ref="T3:Z3"/>
    <mergeCell ref="T12:Z12"/>
    <mergeCell ref="T21:Z21"/>
    <mergeCell ref="B21:H21"/>
    <mergeCell ref="K21:Q21"/>
    <mergeCell ref="B1:H1"/>
    <mergeCell ref="K1:Q1"/>
    <mergeCell ref="B12:H12"/>
    <mergeCell ref="K12:Q12"/>
    <mergeCell ref="B3:H3"/>
    <mergeCell ref="K3:Q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opLeftCell="A10" workbookViewId="0">
      <selection activeCell="A33" sqref="A33:XFD33"/>
    </sheetView>
  </sheetViews>
  <sheetFormatPr defaultRowHeight="14.4" x14ac:dyDescent="0.55000000000000004"/>
  <cols>
    <col min="1" max="1" width="29.9453125" bestFit="1" customWidth="1"/>
    <col min="2" max="2" width="9.83984375" bestFit="1" customWidth="1"/>
    <col min="3" max="3" width="9.20703125" bestFit="1" customWidth="1"/>
    <col min="4" max="4" width="7.47265625" bestFit="1" customWidth="1"/>
    <col min="5" max="5" width="9.3671875" bestFit="1" customWidth="1"/>
    <col min="6" max="6" width="7.15625" bestFit="1" customWidth="1"/>
    <col min="7" max="7" width="2.578125" customWidth="1"/>
    <col min="9" max="9" width="7.47265625" bestFit="1" customWidth="1"/>
    <col min="10" max="10" width="7.578125" bestFit="1" customWidth="1"/>
    <col min="11" max="11" width="6.3125" bestFit="1" customWidth="1"/>
    <col min="12" max="12" width="7.578125" bestFit="1" customWidth="1"/>
    <col min="13" max="13" width="7.47265625" bestFit="1" customWidth="1"/>
    <col min="14" max="15" width="7.15625" bestFit="1" customWidth="1"/>
    <col min="16" max="16" width="2.578125" customWidth="1"/>
    <col min="19" max="19" width="2.578125" customWidth="1"/>
    <col min="24" max="24" width="2.578125" customWidth="1"/>
  </cols>
  <sheetData>
    <row r="1" spans="1:28" x14ac:dyDescent="0.55000000000000004">
      <c r="A1" s="84" t="s">
        <v>141</v>
      </c>
      <c r="B1" s="84"/>
      <c r="C1" s="84"/>
      <c r="D1" s="84"/>
      <c r="E1" s="84"/>
      <c r="F1" s="84"/>
      <c r="G1" s="67"/>
      <c r="H1" s="84" t="s">
        <v>234</v>
      </c>
      <c r="I1" s="84"/>
      <c r="J1" s="84"/>
      <c r="K1" s="84"/>
      <c r="L1" s="84"/>
      <c r="M1" s="84"/>
      <c r="N1" s="84"/>
      <c r="O1" s="84"/>
      <c r="Q1" s="84" t="s">
        <v>91</v>
      </c>
      <c r="R1" s="84"/>
      <c r="T1" s="84" t="s">
        <v>138</v>
      </c>
      <c r="U1" s="84"/>
      <c r="V1" s="84"/>
      <c r="W1" s="84"/>
      <c r="Y1" s="84" t="s">
        <v>127</v>
      </c>
      <c r="Z1" s="84"/>
      <c r="AA1" s="84"/>
      <c r="AB1" s="84"/>
    </row>
    <row r="2" spans="1:28" ht="43.2" x14ac:dyDescent="0.55000000000000004">
      <c r="A2" t="s">
        <v>129</v>
      </c>
      <c r="B2" s="11" t="s">
        <v>139</v>
      </c>
      <c r="C2" s="11" t="s">
        <v>140</v>
      </c>
      <c r="D2" t="s">
        <v>130</v>
      </c>
      <c r="E2" s="11" t="s">
        <v>131</v>
      </c>
      <c r="F2" t="s">
        <v>132</v>
      </c>
      <c r="G2" s="11"/>
      <c r="H2" s="11" t="s">
        <v>134</v>
      </c>
      <c r="I2" s="11" t="s">
        <v>133</v>
      </c>
      <c r="J2" s="11" t="s">
        <v>135</v>
      </c>
      <c r="K2" s="11" t="s">
        <v>136</v>
      </c>
      <c r="L2" s="11" t="s">
        <v>137</v>
      </c>
      <c r="M2" t="s">
        <v>130</v>
      </c>
      <c r="N2" s="11" t="s">
        <v>131</v>
      </c>
      <c r="O2" t="s">
        <v>132</v>
      </c>
      <c r="Q2" s="11" t="s">
        <v>134</v>
      </c>
      <c r="R2" s="11" t="s">
        <v>133</v>
      </c>
      <c r="T2" t="s">
        <v>132</v>
      </c>
      <c r="U2" s="11" t="s">
        <v>135</v>
      </c>
      <c r="V2" s="11" t="s">
        <v>136</v>
      </c>
      <c r="W2" s="11" t="s">
        <v>137</v>
      </c>
      <c r="Y2" t="s">
        <v>132</v>
      </c>
      <c r="Z2" s="11" t="s">
        <v>135</v>
      </c>
      <c r="AA2" s="11" t="s">
        <v>136</v>
      </c>
      <c r="AB2" s="11" t="s">
        <v>137</v>
      </c>
    </row>
    <row r="3" spans="1:28" x14ac:dyDescent="0.55000000000000004">
      <c r="A3">
        <v>2016</v>
      </c>
      <c r="B3" s="15">
        <f>118860065/1000000</f>
        <v>118.86006500000001</v>
      </c>
      <c r="E3" s="11"/>
      <c r="J3" s="11"/>
      <c r="K3" s="11"/>
      <c r="L3" s="11"/>
      <c r="N3" s="11"/>
      <c r="Q3" s="11"/>
      <c r="R3" s="11"/>
      <c r="U3" s="11"/>
      <c r="V3" s="11"/>
      <c r="W3" s="11"/>
      <c r="Z3" s="11"/>
      <c r="AA3" s="11"/>
      <c r="AB3" s="11"/>
    </row>
    <row r="4" spans="1:28" x14ac:dyDescent="0.55000000000000004">
      <c r="A4">
        <f t="shared" ref="A4:A14" si="0">A3+1</f>
        <v>2017</v>
      </c>
      <c r="B4" s="15">
        <f>(C4/100+1)*B3</f>
        <v>119.692085455</v>
      </c>
      <c r="C4">
        <v>0.7</v>
      </c>
      <c r="D4" s="62">
        <v>3314.931</v>
      </c>
      <c r="E4" s="62">
        <v>14655.925999999999</v>
      </c>
      <c r="F4" s="62">
        <v>19120.233</v>
      </c>
      <c r="M4" s="62">
        <f>D4+J4</f>
        <v>3314.931</v>
      </c>
      <c r="N4" s="62">
        <f>E4-L4</f>
        <v>14655.925999999999</v>
      </c>
      <c r="O4" s="62">
        <f>$F4</f>
        <v>19120.233</v>
      </c>
      <c r="Q4" s="15"/>
      <c r="R4" s="41"/>
      <c r="T4" s="15">
        <f>$O4</f>
        <v>19120.233</v>
      </c>
      <c r="Y4" s="15">
        <f>$O4</f>
        <v>19120.233</v>
      </c>
    </row>
    <row r="5" spans="1:28" x14ac:dyDescent="0.55000000000000004">
      <c r="A5">
        <f t="shared" si="0"/>
        <v>2018</v>
      </c>
      <c r="B5" s="15">
        <f t="shared" ref="B5:B14" si="1">(C5/100+1)*B4</f>
        <v>120.52993005318498</v>
      </c>
      <c r="C5">
        <v>0.7</v>
      </c>
      <c r="D5" s="62">
        <v>3531.4479999999999</v>
      </c>
      <c r="E5" s="62">
        <v>15537.183999999999</v>
      </c>
      <c r="F5" s="62">
        <v>19923.919999999998</v>
      </c>
      <c r="H5">
        <f>PolicyParam!E22</f>
        <v>0</v>
      </c>
      <c r="I5" s="41">
        <f>(D5+H5)/F5</f>
        <v>0.17724664624230574</v>
      </c>
      <c r="J5" s="15">
        <f t="shared" ref="J5:J14" si="2">$O5*I5-$D5</f>
        <v>0</v>
      </c>
      <c r="K5" s="15">
        <f ca="1">ROUND(SUMPRODUCT(J$4:J5,OFFSET(DebtService!$B$2:$B3, 0, $A5-2017)),3)</f>
        <v>0</v>
      </c>
      <c r="L5" s="15">
        <f ca="1">K5+J5</f>
        <v>0</v>
      </c>
      <c r="M5" s="62">
        <f t="shared" ref="M5:M14" si="3">D5+J5</f>
        <v>3531.4479999999999</v>
      </c>
      <c r="N5" s="62">
        <f t="shared" ref="N5:N14" ca="1" si="4">E5-L5</f>
        <v>15537.183999999999</v>
      </c>
      <c r="O5" s="62">
        <f t="shared" ref="O5:O14" si="5">IF(policy_param_0&lt;&gt;"Baseline", $F5*(1.01+($A5-2018)/9*(dY_B*(1-0.95^10)-0.01)), $F5)</f>
        <v>19923.919999999998</v>
      </c>
      <c r="Q5" s="15">
        <f>PolicyParam!F22-PolicyParam!E22</f>
        <v>-135.69999999999999</v>
      </c>
      <c r="R5" s="41">
        <f t="shared" ref="R5:R14" si="6">(M5+Q5)/O5</f>
        <v>0.17043573754562358</v>
      </c>
      <c r="T5" s="15">
        <f t="shared" ref="T5:T14" ca="1" si="7">$O5*(1.01+($A5-2018)/9*(dY*(1-0.95^10)-0.01))</f>
        <v>20123.159199999998</v>
      </c>
      <c r="U5" s="15">
        <f t="shared" ref="U5:U14" ca="1" si="8">$R5*T5-$M5</f>
        <v>-101.74251999999979</v>
      </c>
      <c r="V5" s="15">
        <f ca="1">ROUND(SUMPRODUCT(U$4:U5,OFFSET(DebtService!$B$2:$B3, 0, $A5-2017)),3)</f>
        <v>-0.74299999999999999</v>
      </c>
      <c r="W5" s="15">
        <f ca="1">V5+U5</f>
        <v>-102.48551999999978</v>
      </c>
      <c r="Y5" s="15">
        <f t="shared" ref="Y5:Y14" ca="1" si="9">$O5*(1.01+($A5-2018)/9*(dY_co*(1-0.95^10)-0.01))</f>
        <v>20123.159199999998</v>
      </c>
      <c r="Z5" s="15">
        <f t="shared" ref="Z5:Z14" ca="1" si="10">$R5*Y5-$M5</f>
        <v>-101.74251999999979</v>
      </c>
      <c r="AA5" s="15">
        <f ca="1">ROUND(SUMPRODUCT(Z$4:Z5,OFFSET(DebtService!$B$2:$B3, 0, $A5-2017)),3)</f>
        <v>-0.74299999999999999</v>
      </c>
      <c r="AB5" s="15">
        <f ca="1">AA5+Z5</f>
        <v>-102.48551999999978</v>
      </c>
    </row>
    <row r="6" spans="1:28" x14ac:dyDescent="0.55000000000000004">
      <c r="A6">
        <f t="shared" si="0"/>
        <v>2019</v>
      </c>
      <c r="B6" s="15">
        <f t="shared" si="1"/>
        <v>121.37363956355726</v>
      </c>
      <c r="C6">
        <v>0.7</v>
      </c>
      <c r="D6" s="62">
        <v>3686.5639999999999</v>
      </c>
      <c r="E6" s="62">
        <v>16282.468999999999</v>
      </c>
      <c r="F6" s="62">
        <v>20670.834999999999</v>
      </c>
      <c r="H6">
        <f>PolicyParam!E23</f>
        <v>0</v>
      </c>
      <c r="I6" s="41">
        <f t="shared" ref="I6:I14" si="11">(D6+H6)/F6</f>
        <v>0.17834615776285767</v>
      </c>
      <c r="J6" s="15">
        <f t="shared" si="2"/>
        <v>0</v>
      </c>
      <c r="K6" s="15">
        <f ca="1">ROUND(SUMPRODUCT(J$4:J6,OFFSET(DebtService!$B$2:$B4, 0, $A6-2017)),3)</f>
        <v>0</v>
      </c>
      <c r="L6" s="15">
        <f t="shared" ref="L6:L14" ca="1" si="12">K6+J6</f>
        <v>0</v>
      </c>
      <c r="M6" s="62">
        <f t="shared" si="3"/>
        <v>3686.5639999999999</v>
      </c>
      <c r="N6" s="62">
        <f t="shared" ca="1" si="4"/>
        <v>16282.468999999999</v>
      </c>
      <c r="O6" s="62">
        <f t="shared" si="5"/>
        <v>20670.834999999999</v>
      </c>
      <c r="Q6" s="15">
        <f>PolicyParam!F23-PolicyParam!E23</f>
        <v>-280</v>
      </c>
      <c r="R6" s="41">
        <f t="shared" si="6"/>
        <v>0.16480050273731081</v>
      </c>
      <c r="T6" s="15">
        <f t="shared" ca="1" si="7"/>
        <v>20863.162994760227</v>
      </c>
      <c r="U6" s="15">
        <f t="shared" ca="1" si="8"/>
        <v>-248.30424977305529</v>
      </c>
      <c r="V6" s="15">
        <f ca="1">ROUND(SUMPRODUCT(U$4:U6,OFFSET(DebtService!$B$2:$B4, 0, $A6-2017)),3)</f>
        <v>-4.4880000000000004</v>
      </c>
      <c r="W6" s="15">
        <f t="shared" ref="W6:W14" ca="1" si="13">V6+U6</f>
        <v>-252.79224977305529</v>
      </c>
      <c r="Y6" s="15">
        <f t="shared" ca="1" si="9"/>
        <v>20858.854680989181</v>
      </c>
      <c r="Z6" s="15">
        <f t="shared" ca="1" si="10"/>
        <v>-249.01426204847394</v>
      </c>
      <c r="AA6" s="15">
        <f ca="1">ROUND(SUMPRODUCT(Z$4:Z6,OFFSET(DebtService!$B$2:$B4, 0, $A6-2017)),3)</f>
        <v>-4.4960000000000004</v>
      </c>
      <c r="AB6" s="15">
        <f t="shared" ref="AB6:AB14" ca="1" si="14">AA6+Z6</f>
        <v>-253.51026204847395</v>
      </c>
    </row>
    <row r="7" spans="1:28" x14ac:dyDescent="0.55000000000000004">
      <c r="A7">
        <f t="shared" si="0"/>
        <v>2020</v>
      </c>
      <c r="B7" s="15">
        <f t="shared" si="1"/>
        <v>122.22325504050215</v>
      </c>
      <c r="C7">
        <v>0.7</v>
      </c>
      <c r="D7" s="62">
        <v>3853.4360000000001</v>
      </c>
      <c r="E7" s="62">
        <v>17108.273000000001</v>
      </c>
      <c r="F7" s="62">
        <v>21380.494999999999</v>
      </c>
      <c r="H7">
        <f>PolicyParam!E24</f>
        <v>0</v>
      </c>
      <c r="I7" s="41">
        <f t="shared" si="11"/>
        <v>0.18023137443730841</v>
      </c>
      <c r="J7" s="15">
        <f t="shared" si="2"/>
        <v>0</v>
      </c>
      <c r="K7" s="15">
        <f ca="1">ROUND(SUMPRODUCT(J$4:J7,OFFSET(DebtService!$B$2:$B5, 0, $A7-2017)),3)</f>
        <v>0</v>
      </c>
      <c r="L7" s="15">
        <f t="shared" ca="1" si="12"/>
        <v>0</v>
      </c>
      <c r="M7" s="62">
        <f t="shared" si="3"/>
        <v>3853.4360000000001</v>
      </c>
      <c r="N7" s="62">
        <f t="shared" ca="1" si="4"/>
        <v>17108.273000000001</v>
      </c>
      <c r="O7" s="62">
        <f t="shared" si="5"/>
        <v>21380.494999999999</v>
      </c>
      <c r="Q7" s="15">
        <f>PolicyParam!F24-PolicyParam!E24</f>
        <v>-258.8</v>
      </c>
      <c r="R7" s="41">
        <f t="shared" si="6"/>
        <v>0.16812688387242672</v>
      </c>
      <c r="T7" s="15">
        <f t="shared" ca="1" si="7"/>
        <v>21564.551842262485</v>
      </c>
      <c r="U7" s="15">
        <f t="shared" ca="1" si="8"/>
        <v>-227.85509665500967</v>
      </c>
      <c r="V7" s="15">
        <f ca="1">ROUND(SUMPRODUCT(U$4:U7,OFFSET(DebtService!$B$2:$B5, 0, $A7-2017)),3)</f>
        <v>-10.375999999999999</v>
      </c>
      <c r="W7" s="15">
        <f t="shared" ca="1" si="13"/>
        <v>-238.23109665500968</v>
      </c>
      <c r="Y7" s="15">
        <f t="shared" ca="1" si="9"/>
        <v>21555.639393293652</v>
      </c>
      <c r="Z7" s="15">
        <f t="shared" ca="1" si="10"/>
        <v>-229.35351892781182</v>
      </c>
      <c r="AA7" s="15">
        <f ca="1">ROUND(SUMPRODUCT(Z$4:Z7,OFFSET(DebtService!$B$2:$B5, 0, $A7-2017)),3)</f>
        <v>-10.409000000000001</v>
      </c>
      <c r="AB7" s="15">
        <f t="shared" ca="1" si="14"/>
        <v>-239.76251892781181</v>
      </c>
    </row>
    <row r="8" spans="1:28" x14ac:dyDescent="0.55000000000000004">
      <c r="A8">
        <f t="shared" si="0"/>
        <v>2021</v>
      </c>
      <c r="B8" s="15">
        <f t="shared" si="1"/>
        <v>123.07881782578565</v>
      </c>
      <c r="C8">
        <v>0.7</v>
      </c>
      <c r="D8" s="62">
        <v>4011.279</v>
      </c>
      <c r="E8" s="62">
        <v>18036.98</v>
      </c>
      <c r="F8" s="62">
        <v>22165.218000000001</v>
      </c>
      <c r="H8">
        <f>PolicyParam!E25</f>
        <v>0</v>
      </c>
      <c r="I8" s="41">
        <f t="shared" si="11"/>
        <v>0.18097178200548264</v>
      </c>
      <c r="J8" s="15">
        <f t="shared" si="2"/>
        <v>0</v>
      </c>
      <c r="K8" s="15">
        <f ca="1">ROUND(SUMPRODUCT(J$4:J8,OFFSET(DebtService!$B$2:$B6, 0, $A8-2017)),3)</f>
        <v>0</v>
      </c>
      <c r="L8" s="15">
        <f t="shared" ca="1" si="12"/>
        <v>0</v>
      </c>
      <c r="M8" s="62">
        <f t="shared" si="3"/>
        <v>4011.279</v>
      </c>
      <c r="N8" s="62">
        <f t="shared" ca="1" si="4"/>
        <v>18036.98</v>
      </c>
      <c r="O8" s="62">
        <f t="shared" si="5"/>
        <v>22165.218000000001</v>
      </c>
      <c r="Q8" s="15">
        <f>PolicyParam!F25-PolicyParam!E25</f>
        <v>-220.8</v>
      </c>
      <c r="R8" s="41">
        <f t="shared" si="6"/>
        <v>0.17101022872863239</v>
      </c>
      <c r="T8" s="15">
        <f t="shared" ca="1" si="7"/>
        <v>22340.610262274327</v>
      </c>
      <c r="U8" s="15">
        <f t="shared" ca="1" si="8"/>
        <v>-190.80612911123535</v>
      </c>
      <c r="V8" s="15">
        <f ca="1">ROUND(SUMPRODUCT(U$4:U8,OFFSET(DebtService!$B$2:$B6, 0, $A8-2017)),3)</f>
        <v>-17.905999999999999</v>
      </c>
      <c r="W8" s="15">
        <f t="shared" ca="1" si="13"/>
        <v>-208.71212911123536</v>
      </c>
      <c r="Y8" s="15">
        <f t="shared" ca="1" si="9"/>
        <v>22326.750921718271</v>
      </c>
      <c r="Z8" s="15">
        <f t="shared" ca="1" si="10"/>
        <v>-193.1762181097547</v>
      </c>
      <c r="AA8" s="15">
        <f ca="1">ROUND(SUMPRODUCT(Z$4:Z8,OFFSET(DebtService!$B$2:$B6, 0, $A8-2017)),3)</f>
        <v>-17.998999999999999</v>
      </c>
      <c r="AB8" s="15">
        <f t="shared" ca="1" si="14"/>
        <v>-211.1752181097547</v>
      </c>
    </row>
    <row r="9" spans="1:28" x14ac:dyDescent="0.55000000000000004">
      <c r="A9">
        <f t="shared" si="0"/>
        <v>2022</v>
      </c>
      <c r="B9" s="15">
        <f t="shared" si="1"/>
        <v>123.94036955056613</v>
      </c>
      <c r="C9">
        <v>0.7</v>
      </c>
      <c r="D9" s="62">
        <v>4178.3739999999998</v>
      </c>
      <c r="E9" s="62">
        <v>19109.223999999998</v>
      </c>
      <c r="F9" s="62">
        <v>23037.415000000001</v>
      </c>
      <c r="H9">
        <f>PolicyParam!E26</f>
        <v>0</v>
      </c>
      <c r="I9" s="41">
        <f t="shared" si="11"/>
        <v>0.18137338759578711</v>
      </c>
      <c r="J9" s="15">
        <f t="shared" si="2"/>
        <v>0</v>
      </c>
      <c r="K9" s="15">
        <f ca="1">ROUND(SUMPRODUCT(J$4:J9,OFFSET(DebtService!$B$2:$B7, 0, $A9-2017)),3)</f>
        <v>0</v>
      </c>
      <c r="L9" s="15">
        <f t="shared" ca="1" si="12"/>
        <v>0</v>
      </c>
      <c r="M9" s="62">
        <f t="shared" si="3"/>
        <v>4178.3739999999998</v>
      </c>
      <c r="N9" s="62">
        <f t="shared" ca="1" si="4"/>
        <v>19109.223999999998</v>
      </c>
      <c r="O9" s="62">
        <f t="shared" si="5"/>
        <v>23037.415000000001</v>
      </c>
      <c r="Q9" s="15">
        <f>PolicyParam!F26-PolicyParam!E26</f>
        <v>-178.3</v>
      </c>
      <c r="R9" s="41">
        <f t="shared" si="6"/>
        <v>0.173633803966287</v>
      </c>
      <c r="T9" s="15">
        <f t="shared" ca="1" si="7"/>
        <v>23203.682168060266</v>
      </c>
      <c r="U9" s="15">
        <f t="shared" ca="1" si="8"/>
        <v>-149.43039913499433</v>
      </c>
      <c r="V9" s="15">
        <f ca="1">ROUND(SUMPRODUCT(U$4:U9,OFFSET(DebtService!$B$2:$B7, 0, $A9-2017)),3)</f>
        <v>-24.687999999999999</v>
      </c>
      <c r="W9" s="15">
        <f t="shared" ca="1" si="13"/>
        <v>-174.11839913499432</v>
      </c>
      <c r="Y9" s="15">
        <f t="shared" ca="1" si="9"/>
        <v>23184.475897526183</v>
      </c>
      <c r="Z9" s="15">
        <f t="shared" ca="1" si="10"/>
        <v>-152.76525694783277</v>
      </c>
      <c r="AA9" s="15">
        <f ca="1">ROUND(SUMPRODUCT(Z$4:Z9,OFFSET(DebtService!$B$2:$B7, 0, $A9-2017)),3)</f>
        <v>-24.873000000000001</v>
      </c>
      <c r="AB9" s="15">
        <f t="shared" ca="1" si="14"/>
        <v>-177.63825694783276</v>
      </c>
    </row>
    <row r="10" spans="1:28" x14ac:dyDescent="0.55000000000000004">
      <c r="A10">
        <f t="shared" si="0"/>
        <v>2023</v>
      </c>
      <c r="B10" s="15">
        <f t="shared" si="1"/>
        <v>124.80795213742009</v>
      </c>
      <c r="C10">
        <v>0.7</v>
      </c>
      <c r="D10" s="62">
        <v>4361.4160000000002</v>
      </c>
      <c r="E10" s="62">
        <v>20212.361000000001</v>
      </c>
      <c r="F10" s="62">
        <v>23951.227999999999</v>
      </c>
      <c r="H10">
        <f>PolicyParam!E27</f>
        <v>0</v>
      </c>
      <c r="I10" s="41">
        <f t="shared" si="11"/>
        <v>0.18209571550986864</v>
      </c>
      <c r="J10" s="15">
        <f t="shared" si="2"/>
        <v>0</v>
      </c>
      <c r="K10" s="15">
        <f ca="1">ROUND(SUMPRODUCT(J$4:J10,OFFSET(DebtService!$B$2:$B8, 0, $A10-2017)),3)</f>
        <v>0</v>
      </c>
      <c r="L10" s="15">
        <f t="shared" ca="1" si="12"/>
        <v>0</v>
      </c>
      <c r="M10" s="62">
        <f t="shared" si="3"/>
        <v>4361.4160000000002</v>
      </c>
      <c r="N10" s="62">
        <f t="shared" ca="1" si="4"/>
        <v>20212.361000000001</v>
      </c>
      <c r="O10" s="62">
        <f t="shared" si="5"/>
        <v>23951.227999999999</v>
      </c>
      <c r="Q10" s="15">
        <f>PolicyParam!F27-PolicyParam!E27</f>
        <v>-137.9</v>
      </c>
      <c r="R10" s="41">
        <f t="shared" si="6"/>
        <v>0.17633818190866876</v>
      </c>
      <c r="T10" s="15">
        <f t="shared" ca="1" si="7"/>
        <v>24107.427930240356</v>
      </c>
      <c r="U10" s="15">
        <f t="shared" ca="1" si="8"/>
        <v>-110.3559882871541</v>
      </c>
      <c r="V10" s="15">
        <f ca="1">ROUND(SUMPRODUCT(U$4:U10,OFFSET(DebtService!$B$2:$B8, 0, $A10-2017)),3)</f>
        <v>-30.189</v>
      </c>
      <c r="W10" s="15">
        <f t="shared" ca="1" si="13"/>
        <v>-140.5449882871541</v>
      </c>
      <c r="Y10" s="15">
        <f t="shared" ca="1" si="9"/>
        <v>24082.467785808381</v>
      </c>
      <c r="Z10" s="15">
        <f t="shared" ca="1" si="10"/>
        <v>-114.75741477646625</v>
      </c>
      <c r="AA10" s="15">
        <f ca="1">ROUND(SUMPRODUCT(Z$4:Z10,OFFSET(DebtService!$B$2:$B8, 0, $A10-2017)),3)</f>
        <v>-30.503</v>
      </c>
      <c r="AB10" s="15">
        <f t="shared" ca="1" si="14"/>
        <v>-145.26041477646623</v>
      </c>
    </row>
    <row r="11" spans="1:28" x14ac:dyDescent="0.55000000000000004">
      <c r="A11">
        <f t="shared" si="0"/>
        <v>2024</v>
      </c>
      <c r="B11" s="15">
        <f t="shared" si="1"/>
        <v>125.68160780238202</v>
      </c>
      <c r="C11">
        <v>0.7</v>
      </c>
      <c r="D11" s="62">
        <v>4545.277</v>
      </c>
      <c r="E11" s="62">
        <v>21341.744999999999</v>
      </c>
      <c r="F11" s="62">
        <v>24904.977999999999</v>
      </c>
      <c r="H11">
        <f>PolicyParam!E28</f>
        <v>0</v>
      </c>
      <c r="I11" s="41">
        <f t="shared" si="11"/>
        <v>0.18250475868719901</v>
      </c>
      <c r="J11" s="15">
        <f t="shared" si="2"/>
        <v>0</v>
      </c>
      <c r="K11" s="15">
        <f ca="1">ROUND(SUMPRODUCT(J$4:J11,OFFSET(DebtService!$B$2:$B9, 0, $A11-2017)),3)</f>
        <v>0</v>
      </c>
      <c r="L11" s="15">
        <f t="shared" ca="1" si="12"/>
        <v>0</v>
      </c>
      <c r="M11" s="62">
        <f t="shared" si="3"/>
        <v>4545.277</v>
      </c>
      <c r="N11" s="62">
        <f t="shared" ca="1" si="4"/>
        <v>21341.744999999999</v>
      </c>
      <c r="O11" s="62">
        <f t="shared" si="5"/>
        <v>24904.977999999999</v>
      </c>
      <c r="Q11" s="15">
        <f>PolicyParam!F28-PolicyParam!E28</f>
        <v>-120.1</v>
      </c>
      <c r="R11" s="41">
        <f t="shared" si="6"/>
        <v>0.17768242959299141</v>
      </c>
      <c r="T11" s="15">
        <f t="shared" ca="1" si="7"/>
        <v>25050.071912456558</v>
      </c>
      <c r="U11" s="15">
        <f t="shared" ca="1" si="8"/>
        <v>-94.319361115565698</v>
      </c>
      <c r="V11" s="15">
        <f ca="1">ROUND(SUMPRODUCT(U$4:U11,OFFSET(DebtService!$B$2:$B9, 0, $A11-2017)),3)</f>
        <v>-34.970999999999997</v>
      </c>
      <c r="W11" s="15">
        <f t="shared" ca="1" si="13"/>
        <v>-129.2903611155657</v>
      </c>
      <c r="Y11" s="15">
        <f t="shared" ca="1" si="9"/>
        <v>25018.927028463713</v>
      </c>
      <c r="Z11" s="15">
        <f t="shared" ca="1" si="10"/>
        <v>-99.853259772806268</v>
      </c>
      <c r="AA11" s="15">
        <f ca="1">ROUND(SUMPRODUCT(Z$4:Z11,OFFSET(DebtService!$B$2:$B9, 0, $A11-2017)),3)</f>
        <v>-35.457000000000001</v>
      </c>
      <c r="AB11" s="15">
        <f t="shared" ca="1" si="14"/>
        <v>-135.31025977280626</v>
      </c>
    </row>
    <row r="12" spans="1:28" x14ac:dyDescent="0.55000000000000004">
      <c r="A12">
        <f t="shared" si="0"/>
        <v>2025</v>
      </c>
      <c r="B12" s="15">
        <f t="shared" si="1"/>
        <v>126.56137905699867</v>
      </c>
      <c r="C12">
        <v>0.7</v>
      </c>
      <c r="D12" s="62">
        <v>4742.3310000000001</v>
      </c>
      <c r="E12" s="62">
        <v>22613.41</v>
      </c>
      <c r="F12" s="62">
        <v>25896.49</v>
      </c>
      <c r="H12">
        <f>PolicyParam!E29</f>
        <v>0</v>
      </c>
      <c r="I12" s="41">
        <f t="shared" si="11"/>
        <v>0.18312640052763907</v>
      </c>
      <c r="J12" s="15">
        <f t="shared" si="2"/>
        <v>0</v>
      </c>
      <c r="K12" s="15">
        <f ca="1">ROUND(SUMPRODUCT(J$4:J12,OFFSET(DebtService!$B$2:$B10, 0, $A12-2017)),3)</f>
        <v>0</v>
      </c>
      <c r="L12" s="15">
        <f t="shared" ca="1" si="12"/>
        <v>0</v>
      </c>
      <c r="M12" s="62">
        <f t="shared" si="3"/>
        <v>4742.3310000000001</v>
      </c>
      <c r="N12" s="62">
        <f t="shared" ca="1" si="4"/>
        <v>22613.41</v>
      </c>
      <c r="O12" s="62">
        <f t="shared" si="5"/>
        <v>25896.49</v>
      </c>
      <c r="Q12" s="15">
        <f>PolicyParam!F29-PolicyParam!E29</f>
        <v>-114.6</v>
      </c>
      <c r="R12" s="41">
        <f t="shared" si="6"/>
        <v>0.17870109037942977</v>
      </c>
      <c r="T12" s="15">
        <f t="shared" ca="1" si="7"/>
        <v>26029.344605972572</v>
      </c>
      <c r="U12" s="15">
        <f t="shared" ca="1" si="8"/>
        <v>-90.858737050773016</v>
      </c>
      <c r="V12" s="15">
        <f ca="1">ROUND(SUMPRODUCT(U$4:U12,OFFSET(DebtService!$B$2:$B10, 0, $A12-2017)),3)</f>
        <v>-39.558999999999997</v>
      </c>
      <c r="W12" s="15">
        <f t="shared" ca="1" si="13"/>
        <v>-130.41773705077301</v>
      </c>
      <c r="Y12" s="15">
        <f t="shared" ca="1" si="9"/>
        <v>25991.562318444197</v>
      </c>
      <c r="Z12" s="15">
        <f t="shared" ca="1" si="10"/>
        <v>-97.610473029122659</v>
      </c>
      <c r="AA12" s="15">
        <f ca="1">ROUND(SUMPRODUCT(Z$4:Z12,OFFSET(DebtService!$B$2:$B10, 0, $A12-2017)),3)</f>
        <v>-40.258000000000003</v>
      </c>
      <c r="AB12" s="15">
        <f t="shared" ca="1" si="14"/>
        <v>-137.86847302912267</v>
      </c>
    </row>
    <row r="13" spans="1:28" x14ac:dyDescent="0.55000000000000004">
      <c r="A13">
        <f t="shared" si="0"/>
        <v>2026</v>
      </c>
      <c r="B13" s="15">
        <f t="shared" si="1"/>
        <v>127.44730871039765</v>
      </c>
      <c r="C13">
        <v>0.7</v>
      </c>
      <c r="D13" s="62">
        <v>4948.0320000000002</v>
      </c>
      <c r="E13" s="62">
        <v>24013.602999999999</v>
      </c>
      <c r="F13" s="62">
        <v>26926.755000000001</v>
      </c>
      <c r="H13">
        <f>PolicyParam!E30</f>
        <v>0</v>
      </c>
      <c r="I13" s="41">
        <f t="shared" si="11"/>
        <v>0.18375894161773298</v>
      </c>
      <c r="J13" s="15">
        <f t="shared" si="2"/>
        <v>0</v>
      </c>
      <c r="K13" s="15">
        <f ca="1">ROUND(SUMPRODUCT(J$4:J13,OFFSET(DebtService!$B$2:$B11, 0, $A13-2017)),3)</f>
        <v>0</v>
      </c>
      <c r="L13" s="15">
        <f t="shared" ca="1" si="12"/>
        <v>0</v>
      </c>
      <c r="M13" s="62">
        <f t="shared" si="3"/>
        <v>4948.0320000000002</v>
      </c>
      <c r="N13" s="62">
        <f t="shared" ca="1" si="4"/>
        <v>24013.602999999999</v>
      </c>
      <c r="O13" s="62">
        <f t="shared" si="5"/>
        <v>26926.755000000001</v>
      </c>
      <c r="Q13" s="15">
        <f>PolicyParam!F30-PolicyParam!E30</f>
        <v>-40.6</v>
      </c>
      <c r="R13" s="41">
        <f t="shared" si="6"/>
        <v>0.18225114760393518</v>
      </c>
      <c r="T13" s="15">
        <f t="shared" ca="1" si="7"/>
        <v>27046.162594229732</v>
      </c>
      <c r="U13" s="15">
        <f t="shared" ca="1" si="8"/>
        <v>-18.837828919006824</v>
      </c>
      <c r="V13" s="15">
        <f ca="1">ROUND(SUMPRODUCT(U$4:U13,OFFSET(DebtService!$B$2:$B11, 0, $A13-2017)),3)</f>
        <v>-43.137</v>
      </c>
      <c r="W13" s="15">
        <f t="shared" ca="1" si="13"/>
        <v>-61.974828919006825</v>
      </c>
      <c r="Y13" s="15">
        <f t="shared" ca="1" si="9"/>
        <v>27001.264975192618</v>
      </c>
      <c r="Z13" s="15">
        <f t="shared" ca="1" si="10"/>
        <v>-27.020471513204939</v>
      </c>
      <c r="AA13" s="15">
        <f ca="1">ROUND(SUMPRODUCT(Z$4:Z13,OFFSET(DebtService!$B$2:$B11, 0, $A13-2017)),3)</f>
        <v>-44.1</v>
      </c>
      <c r="AB13" s="15">
        <f t="shared" ca="1" si="14"/>
        <v>-71.120471513204933</v>
      </c>
    </row>
    <row r="14" spans="1:28" x14ac:dyDescent="0.55000000000000004">
      <c r="A14">
        <f t="shared" si="0"/>
        <v>2027</v>
      </c>
      <c r="B14" s="15">
        <f t="shared" si="1"/>
        <v>128.21199256266004</v>
      </c>
      <c r="C14">
        <v>0.6</v>
      </c>
      <c r="D14" s="62">
        <v>5158.2439999999997</v>
      </c>
      <c r="E14" s="62">
        <v>25524.364000000001</v>
      </c>
      <c r="F14" s="62">
        <v>27999.07</v>
      </c>
      <c r="H14">
        <f>PolicyParam!E31</f>
        <v>0</v>
      </c>
      <c r="I14" s="41">
        <f t="shared" si="11"/>
        <v>0.18422911903859662</v>
      </c>
      <c r="J14" s="15">
        <f t="shared" si="2"/>
        <v>0</v>
      </c>
      <c r="K14" s="15">
        <f ca="1">ROUND(SUMPRODUCT(J$4:J14,OFFSET(DebtService!$B$2:$B12, 0, $A14-2017)),3)</f>
        <v>0</v>
      </c>
      <c r="L14" s="15">
        <f t="shared" ca="1" si="12"/>
        <v>0</v>
      </c>
      <c r="M14" s="62">
        <f t="shared" si="3"/>
        <v>5158.2439999999997</v>
      </c>
      <c r="N14" s="62">
        <f t="shared" ca="1" si="4"/>
        <v>25524.364000000001</v>
      </c>
      <c r="O14" s="62">
        <f t="shared" si="5"/>
        <v>27999.07</v>
      </c>
      <c r="Q14" s="15">
        <f>PolicyParam!F31-PolicyParam!E31</f>
        <v>32.9</v>
      </c>
      <c r="R14" s="41">
        <f t="shared" si="6"/>
        <v>0.18540415806667862</v>
      </c>
      <c r="T14" s="15">
        <f t="shared" ca="1" si="7"/>
        <v>28103.754324768943</v>
      </c>
      <c r="U14" s="15">
        <f t="shared" ca="1" si="8"/>
        <v>52.308909096564093</v>
      </c>
      <c r="V14" s="15">
        <f ca="1">ROUND(SUMPRODUCT(U$4:U14,OFFSET(DebtService!$B$2:$B12, 0, $A14-2017)),3)</f>
        <v>-44.404000000000003</v>
      </c>
      <c r="W14" s="15">
        <f t="shared" ca="1" si="13"/>
        <v>7.90490909656409</v>
      </c>
      <c r="Y14" s="15">
        <f t="shared" ca="1" si="9"/>
        <v>28051.233030408181</v>
      </c>
      <c r="Z14" s="15">
        <f t="shared" ca="1" si="10"/>
        <v>42.571242735035412</v>
      </c>
      <c r="AA14" s="15">
        <f ca="1">ROUND(SUMPRODUCT(Z$4:Z14,OFFSET(DebtService!$B$2:$B12, 0, $A14-2017)),3)</f>
        <v>-45.686</v>
      </c>
      <c r="AB14" s="15">
        <f t="shared" ca="1" si="14"/>
        <v>-3.114757264964588</v>
      </c>
    </row>
    <row r="16" spans="1:28" x14ac:dyDescent="0.55000000000000004">
      <c r="E16" s="84" t="s">
        <v>142</v>
      </c>
      <c r="F16" s="84"/>
    </row>
    <row r="17" spans="1:6" ht="28.8" x14ac:dyDescent="0.55000000000000004">
      <c r="B17" s="11" t="s">
        <v>17</v>
      </c>
      <c r="C17" s="11" t="s">
        <v>144</v>
      </c>
      <c r="D17" s="11" t="s">
        <v>145</v>
      </c>
      <c r="E17" s="11" t="s">
        <v>144</v>
      </c>
      <c r="F17" s="11" t="s">
        <v>145</v>
      </c>
    </row>
    <row r="18" spans="1:6" x14ac:dyDescent="0.55000000000000004">
      <c r="A18" t="s">
        <v>132</v>
      </c>
    </row>
    <row r="19" spans="1:6" x14ac:dyDescent="0.55000000000000004">
      <c r="A19" s="3" t="s">
        <v>143</v>
      </c>
      <c r="E19" s="41">
        <f ca="1">dY</f>
        <v>9.3177031066424831E-3</v>
      </c>
      <c r="F19" s="41">
        <f ca="1">dY_co</f>
        <v>4.6429074415770266E-3</v>
      </c>
    </row>
    <row r="20" spans="1:6" x14ac:dyDescent="0.55000000000000004">
      <c r="A20" s="3" t="s">
        <v>146</v>
      </c>
      <c r="B20" s="15">
        <f>O14</f>
        <v>27999.07</v>
      </c>
      <c r="C20" s="15">
        <f ca="1">T14</f>
        <v>28103.754324768943</v>
      </c>
      <c r="D20" s="15">
        <f ca="1">Y14</f>
        <v>28051.233030408181</v>
      </c>
      <c r="E20" s="41">
        <f ca="1">C20/$B20-1</f>
        <v>3.738850067839472E-3</v>
      </c>
      <c r="F20" s="41">
        <f ca="1">D20/$B20-1</f>
        <v>1.863027250840199E-3</v>
      </c>
    </row>
    <row r="21" spans="1:6" x14ac:dyDescent="0.55000000000000004">
      <c r="A21" s="3" t="s">
        <v>147</v>
      </c>
      <c r="B21" s="9">
        <f>100*((O14/O4)^0.1-1)</f>
        <v>3.8879179681561959</v>
      </c>
      <c r="C21" s="9">
        <f ca="1">100*((T14/T4)^0.1-1)</f>
        <v>3.9266949061864453</v>
      </c>
      <c r="D21" s="9">
        <f ca="1">100*((Y14/Y4)^0.1-1)</f>
        <v>3.9072563633285595</v>
      </c>
      <c r="E21" s="9">
        <f ca="1">C21-$B21</f>
        <v>3.8776938030249397E-2</v>
      </c>
      <c r="F21" s="9">
        <f ca="1">D21-$B21</f>
        <v>1.9338395172363576E-2</v>
      </c>
    </row>
    <row r="23" spans="1:6" x14ac:dyDescent="0.55000000000000004">
      <c r="A23" s="4" t="s">
        <v>149</v>
      </c>
    </row>
    <row r="24" spans="1:6" x14ac:dyDescent="0.55000000000000004">
      <c r="A24" s="3" t="s">
        <v>150</v>
      </c>
      <c r="E24" s="64">
        <f>SUM(Q5:Q14)</f>
        <v>-1453.8999999999996</v>
      </c>
    </row>
    <row r="25" spans="1:6" x14ac:dyDescent="0.55000000000000004">
      <c r="A25" s="3" t="s">
        <v>151</v>
      </c>
      <c r="E25" s="64">
        <f ca="1">E24-E26</f>
        <v>-273.69859904976965</v>
      </c>
    </row>
    <row r="26" spans="1:6" x14ac:dyDescent="0.55000000000000004">
      <c r="A26" s="3" t="s">
        <v>90</v>
      </c>
      <c r="E26" s="64">
        <f ca="1">SUM(U5:U14)</f>
        <v>-1180.20140095023</v>
      </c>
      <c r="F26" s="15"/>
    </row>
    <row r="27" spans="1:6" x14ac:dyDescent="0.55000000000000004">
      <c r="A27" s="3" t="s">
        <v>148</v>
      </c>
      <c r="E27" s="65">
        <f ca="1">-E26/SUM($B$5:$B$14)*1000</f>
        <v>948.82459188081862</v>
      </c>
      <c r="F27" s="63"/>
    </row>
    <row r="29" spans="1:6" x14ac:dyDescent="0.55000000000000004">
      <c r="A29" s="3" t="s">
        <v>153</v>
      </c>
      <c r="B29" s="64">
        <f ca="1">N14-N4</f>
        <v>10868.438000000002</v>
      </c>
      <c r="C29" s="64">
        <f ca="1">B29-SUM(W5:W14)</f>
        <v>12299.100400950232</v>
      </c>
    </row>
    <row r="30" spans="1:6" x14ac:dyDescent="0.55000000000000004">
      <c r="A30" s="3" t="s">
        <v>154</v>
      </c>
      <c r="B30" s="64">
        <f>SUM(O5:O14)</f>
        <v>236856.40400000001</v>
      </c>
      <c r="C30" s="64">
        <f ca="1">SUM(T5:T14)</f>
        <v>238431.92783502548</v>
      </c>
    </row>
    <row r="31" spans="1:6" x14ac:dyDescent="0.55000000000000004">
      <c r="A31" s="3" t="s">
        <v>155</v>
      </c>
      <c r="B31" s="41">
        <f ca="1">B29/B30</f>
        <v>4.5886190182976863E-2</v>
      </c>
      <c r="C31" s="41">
        <f ca="1">C29/C30</f>
        <v>5.1583277930211426E-2</v>
      </c>
      <c r="E31" s="49">
        <f ca="1">C31-B31</f>
        <v>5.6970877472345624E-3</v>
      </c>
    </row>
    <row r="32" spans="1:6" x14ac:dyDescent="0.55000000000000004">
      <c r="A32" s="3" t="s">
        <v>152</v>
      </c>
      <c r="E32" s="42">
        <f ca="1">ROUND(E31*0.25, 4)</f>
        <v>1.4E-3</v>
      </c>
    </row>
    <row r="33" spans="1:5" x14ac:dyDescent="0.55000000000000004">
      <c r="A33" s="3" t="s">
        <v>156</v>
      </c>
      <c r="B33" s="40">
        <f ca="1">N14/O14</f>
        <v>0.91161470720277504</v>
      </c>
      <c r="C33" s="40">
        <f ca="1">(N14-SUM(W5:W14))/T14</f>
        <v>0.95912546378879027</v>
      </c>
      <c r="E33" s="49">
        <f ca="1">C33-B33</f>
        <v>4.7510756586015224E-2</v>
      </c>
    </row>
  </sheetData>
  <mergeCells count="6">
    <mergeCell ref="T1:W1"/>
    <mergeCell ref="Y1:AB1"/>
    <mergeCell ref="E16:F16"/>
    <mergeCell ref="A1:F1"/>
    <mergeCell ref="Q1:R1"/>
    <mergeCell ref="H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topLeftCell="B1" workbookViewId="0">
      <selection activeCell="T13" sqref="T13"/>
    </sheetView>
  </sheetViews>
  <sheetFormatPr defaultRowHeight="14.4" x14ac:dyDescent="0.55000000000000004"/>
  <cols>
    <col min="10" max="10" width="7.15625" bestFit="1" customWidth="1"/>
    <col min="11" max="11" width="12.47265625" customWidth="1"/>
    <col min="12" max="12" width="9.20703125" bestFit="1" customWidth="1"/>
    <col min="13" max="13" width="9.20703125" customWidth="1"/>
    <col min="15" max="15" width="18.734375" bestFit="1" customWidth="1"/>
    <col min="16" max="16" width="9.20703125" bestFit="1" customWidth="1"/>
    <col min="17" max="17" width="8.734375" bestFit="1" customWidth="1"/>
    <col min="18" max="18" width="14.68359375" bestFit="1" customWidth="1"/>
  </cols>
  <sheetData>
    <row r="1" spans="2:20" ht="28.8" x14ac:dyDescent="0.55000000000000004">
      <c r="I1" t="s">
        <v>25</v>
      </c>
      <c r="J1" t="s">
        <v>17</v>
      </c>
      <c r="K1" s="11" t="s">
        <v>96</v>
      </c>
      <c r="L1" s="11" t="s">
        <v>97</v>
      </c>
      <c r="M1" s="11"/>
    </row>
    <row r="2" spans="2:20" x14ac:dyDescent="0.55000000000000004">
      <c r="I2" t="s">
        <v>5</v>
      </c>
      <c r="J2" s="8">
        <f>(1+rho)*(1+pi)</f>
        <v>1.106886</v>
      </c>
      <c r="K2" s="8">
        <f>ccr_i_baseline</f>
        <v>1.106886</v>
      </c>
      <c r="L2" s="8">
        <f ca="1">(1+rho+int_crowdout)*(1+pi)</f>
        <v>1.1083182</v>
      </c>
      <c r="M2" s="8"/>
      <c r="P2" t="s">
        <v>64</v>
      </c>
      <c r="Q2" t="s">
        <v>65</v>
      </c>
      <c r="R2" t="s">
        <v>66</v>
      </c>
      <c r="S2" t="s">
        <v>67</v>
      </c>
      <c r="T2" t="s">
        <v>68</v>
      </c>
    </row>
    <row r="3" spans="2:20" x14ac:dyDescent="0.55000000000000004">
      <c r="C3" s="85" t="s">
        <v>82</v>
      </c>
      <c r="D3" s="85"/>
      <c r="E3" s="85" t="s">
        <v>83</v>
      </c>
      <c r="F3" s="85"/>
      <c r="G3" s="85"/>
      <c r="H3" s="85"/>
      <c r="O3" s="80" t="s">
        <v>216</v>
      </c>
      <c r="P3" s="80"/>
      <c r="Q3" s="80"/>
      <c r="R3" s="80"/>
      <c r="S3" s="80"/>
      <c r="T3" s="80"/>
    </row>
    <row r="4" spans="2:20" x14ac:dyDescent="0.55000000000000004">
      <c r="C4" s="20" t="s">
        <v>85</v>
      </c>
      <c r="D4" s="20" t="s">
        <v>86</v>
      </c>
      <c r="E4" s="20" t="s">
        <v>85</v>
      </c>
      <c r="F4" s="21" t="s">
        <v>87</v>
      </c>
      <c r="G4" s="21" t="s">
        <v>88</v>
      </c>
      <c r="H4" s="21" t="s">
        <v>89</v>
      </c>
      <c r="P4" t="s">
        <v>0</v>
      </c>
      <c r="Q4" t="s">
        <v>1</v>
      </c>
      <c r="R4" t="s">
        <v>92</v>
      </c>
      <c r="S4" t="s">
        <v>98</v>
      </c>
      <c r="T4" t="s">
        <v>99</v>
      </c>
    </row>
    <row r="5" spans="2:20" x14ac:dyDescent="0.55000000000000004">
      <c r="B5" t="s">
        <v>236</v>
      </c>
      <c r="C5" s="8">
        <f t="shared" ref="C5:H6" si="0">SUMPRODUCT(C$13:C$52, $J$13:$J$52)</f>
        <v>0.84216475686572845</v>
      </c>
      <c r="D5" s="8">
        <f t="shared" si="0"/>
        <v>0.78264041738365075</v>
      </c>
      <c r="E5" s="8">
        <f t="shared" si="0"/>
        <v>0.78482182233967579</v>
      </c>
      <c r="F5" s="8">
        <f t="shared" si="0"/>
        <v>0.4281330786100675</v>
      </c>
      <c r="G5" s="8">
        <f t="shared" si="0"/>
        <v>0.336468267508512</v>
      </c>
      <c r="H5" s="8">
        <f t="shared" si="0"/>
        <v>0.24790713465201705</v>
      </c>
      <c r="N5" s="16" t="s">
        <v>235</v>
      </c>
      <c r="O5" t="s">
        <v>236</v>
      </c>
      <c r="P5" s="8">
        <f ca="1">IF(INDIRECT(P$2&amp;$N5)="EXP",1,IF(INDIRECT(P$2&amp;$N5)="DDB",AVERAGE(C5:D5),NA()))</f>
        <v>0.8124025871246896</v>
      </c>
      <c r="Q5" s="8">
        <f ca="1">IF(INDIRECT(Q$2&amp;$N5)="EXP",1,IF(INDIRECT(Q$2&amp;$N5)="SL",AVERAGE(F5, H5),NA()))</f>
        <v>0.33802010663104226</v>
      </c>
      <c r="R5" s="8">
        <f ca="1">IF(INDIRECT(R$2&amp;$N5)="EXP",1,IF(INDIRECT(R$2&amp;$N5)="SL",G5,NA()))</f>
        <v>0.336468267508512</v>
      </c>
      <c r="S5" s="8">
        <f ca="1">IF(INDIRECT(S$2&amp;$N5)="EXP",1,IF(INDIRECT(S$2&amp;$N5)="SL",E5,NA()))</f>
        <v>1</v>
      </c>
      <c r="T5" s="8">
        <f ca="1">IF(INDIRECT(T$2&amp;$N5)="EXP",1,IF(INDIRECT(T$2&amp;$N5)="DDB",C5,NA()))</f>
        <v>0.84216475686572845</v>
      </c>
    </row>
    <row r="6" spans="2:20" x14ac:dyDescent="0.55000000000000004">
      <c r="B6" t="s">
        <v>17</v>
      </c>
      <c r="C6" s="8">
        <f t="shared" si="0"/>
        <v>0.84216475686572845</v>
      </c>
      <c r="D6" s="8">
        <f t="shared" si="0"/>
        <v>0.78264041738365075</v>
      </c>
      <c r="E6" s="8">
        <f t="shared" si="0"/>
        <v>0.78482182233967579</v>
      </c>
      <c r="F6" s="8">
        <f t="shared" si="0"/>
        <v>0.4281330786100675</v>
      </c>
      <c r="G6" s="8">
        <f t="shared" si="0"/>
        <v>0.336468267508512</v>
      </c>
      <c r="H6" s="8">
        <f t="shared" si="0"/>
        <v>0.24790713465201705</v>
      </c>
      <c r="N6" s="16" t="s">
        <v>100</v>
      </c>
      <c r="O6" t="s">
        <v>17</v>
      </c>
      <c r="P6" s="8">
        <f ca="1">IF(INDIRECT(P$2&amp;$N6)="EXP",1,IF(INDIRECT(P$2&amp;$N6)="DDB",AVERAGE(C6:D6),NA()))</f>
        <v>0.8124025871246896</v>
      </c>
      <c r="Q6" s="8">
        <f ca="1">IF(INDIRECT(Q$2&amp;$N6)="EXP",1,IF(INDIRECT(Q$2&amp;$N6)="SL",AVERAGE(F6, H6),NA()))</f>
        <v>0.33802010663104226</v>
      </c>
      <c r="R6" s="8">
        <f ca="1">IF(INDIRECT(R$2&amp;$N6)="EXP",1,IF(INDIRECT(R$2&amp;$N6)="SL",G6,NA()))</f>
        <v>0.336468267508512</v>
      </c>
      <c r="S6" s="8">
        <f ca="1">IF(INDIRECT(S$2&amp;$N6)="EXP",1,IF(INDIRECT(S$2&amp;$N6)="SL",E6,NA()))</f>
        <v>1</v>
      </c>
      <c r="T6" s="8">
        <f ca="1">IF(INDIRECT(T$2&amp;$N6)="EXP",1,IF(INDIRECT(T$2&amp;$N6)="DDB",C6,NA()))</f>
        <v>0.84216475686572845</v>
      </c>
    </row>
    <row r="7" spans="2:20" x14ac:dyDescent="0.55000000000000004">
      <c r="B7" t="s">
        <v>96</v>
      </c>
      <c r="C7" s="8">
        <f t="shared" ref="C7:H7" si="1">SUMPRODUCT(C$13:C$52, $K$13:$K$52)</f>
        <v>0.84216475686572845</v>
      </c>
      <c r="D7" s="8">
        <f t="shared" si="1"/>
        <v>0.78264041738365075</v>
      </c>
      <c r="E7" s="8">
        <f t="shared" si="1"/>
        <v>0.78482182233967579</v>
      </c>
      <c r="F7" s="8">
        <f t="shared" si="1"/>
        <v>0.4281330786100675</v>
      </c>
      <c r="G7" s="8">
        <f t="shared" si="1"/>
        <v>0.336468267508512</v>
      </c>
      <c r="H7" s="8">
        <f t="shared" si="1"/>
        <v>0.24790713465201705</v>
      </c>
      <c r="N7" s="16" t="s">
        <v>78</v>
      </c>
      <c r="O7" t="s">
        <v>96</v>
      </c>
      <c r="P7" s="8">
        <f ca="1">IF(INDIRECT(P$2&amp;$N7)="EXP",1,IF(INDIRECT(P$2&amp;$N7)="DDB",AVERAGE(C7:D7),NA()))</f>
        <v>0.8124025871246896</v>
      </c>
      <c r="Q7" s="8">
        <f ca="1">IF(INDIRECT(Q$2&amp;$N7)="EXP",1,IF(INDIRECT(Q$2&amp;$N7)="SL",AVERAGE(F7, H7),NA()))</f>
        <v>0.33802010663104226</v>
      </c>
      <c r="R7" s="8">
        <f ca="1">IF(INDIRECT(R$2&amp;$N7)="EXP",1,IF(INDIRECT(R$2&amp;$N7)="SL",G7,NA()))</f>
        <v>0.336468267508512</v>
      </c>
      <c r="S7" s="8">
        <f ca="1">IF(INDIRECT(S$2&amp;$N7)="EXP",1,IF(INDIRECT(S$2&amp;$N7)="SL",E7,NA()))</f>
        <v>0.78482182233967579</v>
      </c>
      <c r="T7" s="8">
        <f ca="1">IF(INDIRECT(T$2&amp;$N7)="EXP",1,IF(INDIRECT(T$2&amp;$N7)="DDB",C7,NA()))</f>
        <v>0.84216475686572845</v>
      </c>
    </row>
    <row r="8" spans="2:20" x14ac:dyDescent="0.55000000000000004">
      <c r="B8" t="s">
        <v>97</v>
      </c>
      <c r="C8" s="8">
        <f t="shared" ref="C8:H8" ca="1" si="2">SUMPRODUCT(C$13:C$52, $L$13:$L$52)</f>
        <v>0.84043822558883619</v>
      </c>
      <c r="D8" s="8">
        <f t="shared" ca="1" si="2"/>
        <v>0.78040370428066763</v>
      </c>
      <c r="E8" s="8">
        <f t="shared" ca="1" si="2"/>
        <v>0.78252053815167855</v>
      </c>
      <c r="F8" s="8">
        <f t="shared" ca="1" si="2"/>
        <v>0.42438932956483327</v>
      </c>
      <c r="G8" s="8">
        <f t="shared" ca="1" si="2"/>
        <v>0.33300220078638831</v>
      </c>
      <c r="H8" s="8">
        <f t="shared" ca="1" si="2"/>
        <v>0.24502962150900356</v>
      </c>
      <c r="N8" s="16" t="s">
        <v>78</v>
      </c>
      <c r="O8" t="s">
        <v>97</v>
      </c>
      <c r="P8" s="8">
        <f ca="1">IF(INDIRECT(P$2&amp;$N8)="EXP",1,IF(INDIRECT(P$2&amp;$N8)="DDB",AVERAGE(C8:D8),NA()))</f>
        <v>0.81042096493475191</v>
      </c>
      <c r="Q8" s="8">
        <f ca="1">IF(INDIRECT(Q$2&amp;$N8)="EXP",1,IF(INDIRECT(Q$2&amp;$N8)="SL",AVERAGE(F8, H8),NA()))</f>
        <v>0.33470947553691843</v>
      </c>
      <c r="R8" s="8">
        <f ca="1">IF(INDIRECT(R$2&amp;$N8)="EXP",1,IF(INDIRECT(R$2&amp;$N8)="SL",G8,NA()))</f>
        <v>0.33300220078638831</v>
      </c>
      <c r="S8" s="8">
        <f ca="1">IF(INDIRECT(S$2&amp;$N8)="EXP",1,IF(INDIRECT(S$2&amp;$N8)="SL",E8,NA()))</f>
        <v>0.78252053815167855</v>
      </c>
      <c r="T8" s="8">
        <f ca="1">IF(INDIRECT(T$2&amp;$N8)="EXP",1,IF(INDIRECT(T$2&amp;$N8)="DDB",C8,NA()))</f>
        <v>0.84043822558883619</v>
      </c>
    </row>
    <row r="10" spans="2:20" x14ac:dyDescent="0.55000000000000004">
      <c r="B10" s="86" t="s">
        <v>81</v>
      </c>
      <c r="C10" s="87"/>
      <c r="D10" s="87"/>
      <c r="E10" s="87"/>
      <c r="F10" s="87"/>
      <c r="G10" s="87"/>
      <c r="H10" s="88"/>
      <c r="I10" s="37"/>
      <c r="P10" t="s">
        <v>69</v>
      </c>
      <c r="Q10" t="s">
        <v>70</v>
      </c>
      <c r="R10" t="s">
        <v>71</v>
      </c>
      <c r="S10" t="s">
        <v>72</v>
      </c>
      <c r="T10" t="s">
        <v>73</v>
      </c>
    </row>
    <row r="11" spans="2:20" x14ac:dyDescent="0.55000000000000004">
      <c r="B11" s="19"/>
      <c r="C11" s="85" t="s">
        <v>82</v>
      </c>
      <c r="D11" s="85"/>
      <c r="E11" s="89" t="s">
        <v>83</v>
      </c>
      <c r="F11" s="85"/>
      <c r="G11" s="85"/>
      <c r="H11" s="90"/>
      <c r="I11" s="37"/>
      <c r="O11" s="80" t="s">
        <v>101</v>
      </c>
      <c r="P11" s="80"/>
      <c r="Q11" s="80"/>
      <c r="R11" s="80"/>
      <c r="S11" s="80"/>
      <c r="T11" s="80"/>
    </row>
    <row r="12" spans="2:20" x14ac:dyDescent="0.55000000000000004">
      <c r="B12" s="19" t="s">
        <v>84</v>
      </c>
      <c r="C12" s="20" t="s">
        <v>85</v>
      </c>
      <c r="D12" s="20" t="s">
        <v>86</v>
      </c>
      <c r="E12" s="19" t="s">
        <v>85</v>
      </c>
      <c r="F12" s="21" t="s">
        <v>87</v>
      </c>
      <c r="G12" s="21" t="s">
        <v>88</v>
      </c>
      <c r="H12" s="22" t="s">
        <v>89</v>
      </c>
      <c r="I12" s="21"/>
      <c r="M12" s="8"/>
      <c r="P12" t="s">
        <v>0</v>
      </c>
      <c r="Q12" t="s">
        <v>1</v>
      </c>
      <c r="R12" t="s">
        <v>92</v>
      </c>
      <c r="S12" t="s">
        <v>98</v>
      </c>
      <c r="T12" t="s">
        <v>99</v>
      </c>
    </row>
    <row r="13" spans="2:20" x14ac:dyDescent="0.55000000000000004">
      <c r="B13" s="23">
        <v>1</v>
      </c>
      <c r="C13" s="24">
        <v>0.2</v>
      </c>
      <c r="D13" s="25">
        <v>0.1429</v>
      </c>
      <c r="E13" s="26">
        <v>0.1</v>
      </c>
      <c r="F13" s="25">
        <v>2.5000000000000001E-2</v>
      </c>
      <c r="G13" s="25">
        <v>1.8182E-2</v>
      </c>
      <c r="H13" s="27">
        <v>1.2840000000000001E-2</v>
      </c>
      <c r="I13" s="38"/>
      <c r="J13" s="8">
        <f>1/J$2^($B13-1)</f>
        <v>1</v>
      </c>
      <c r="K13" s="8">
        <f>1/K$2^($B13-1)</f>
        <v>1</v>
      </c>
      <c r="L13" s="8">
        <f ca="1">1/L$2^($B13-1)</f>
        <v>1</v>
      </c>
      <c r="M13" s="8"/>
      <c r="N13" s="16" t="s">
        <v>235</v>
      </c>
      <c r="O13" t="s">
        <v>236</v>
      </c>
      <c r="P13" s="8">
        <f t="shared" ref="P13:T16" ca="1" si="3">INDIRECT(P$10&amp;$N13)+(1-INDIRECT(P$10&amp;$N13))*P5</f>
        <v>0.8124025871246896</v>
      </c>
      <c r="Q13" s="8">
        <f t="shared" ca="1" si="3"/>
        <v>0.33802010663104226</v>
      </c>
      <c r="R13" s="8">
        <f t="shared" ca="1" si="3"/>
        <v>0.336468267508512</v>
      </c>
      <c r="S13" s="8">
        <f t="shared" ca="1" si="3"/>
        <v>1</v>
      </c>
      <c r="T13" s="8">
        <f t="shared" ca="1" si="3"/>
        <v>0.84216475686572845</v>
      </c>
    </row>
    <row r="14" spans="2:20" x14ac:dyDescent="0.55000000000000004">
      <c r="B14" s="23">
        <v>2</v>
      </c>
      <c r="C14" s="24">
        <v>0.32</v>
      </c>
      <c r="D14" s="25">
        <v>0.24490000000000001</v>
      </c>
      <c r="E14" s="26">
        <v>0.2</v>
      </c>
      <c r="F14" s="25">
        <v>0.05</v>
      </c>
      <c r="G14" s="25">
        <v>3.6364E-2</v>
      </c>
      <c r="H14" s="27">
        <v>2.564E-2</v>
      </c>
      <c r="I14" s="38"/>
      <c r="J14" s="8">
        <f t="shared" ref="J14:L52" si="4">1/J$2^($B14-1)</f>
        <v>0.90343540346521678</v>
      </c>
      <c r="K14" s="8">
        <f t="shared" si="4"/>
        <v>0.90343540346521678</v>
      </c>
      <c r="L14" s="8">
        <f t="shared" ca="1" si="4"/>
        <v>0.90226795878656507</v>
      </c>
      <c r="M14" s="8"/>
      <c r="N14" s="16" t="s">
        <v>100</v>
      </c>
      <c r="O14" t="s">
        <v>17</v>
      </c>
      <c r="P14" s="8">
        <f t="shared" ca="1" si="3"/>
        <v>0.8124025871246896</v>
      </c>
      <c r="Q14" s="8">
        <f t="shared" ca="1" si="3"/>
        <v>0.33802010663104226</v>
      </c>
      <c r="R14" s="8">
        <f t="shared" ca="1" si="3"/>
        <v>0.336468267508512</v>
      </c>
      <c r="S14" s="8">
        <f t="shared" ca="1" si="3"/>
        <v>1</v>
      </c>
      <c r="T14" s="8">
        <f t="shared" ca="1" si="3"/>
        <v>0.84216475686572845</v>
      </c>
    </row>
    <row r="15" spans="2:20" x14ac:dyDescent="0.55000000000000004">
      <c r="B15" s="23">
        <v>3</v>
      </c>
      <c r="C15" s="25">
        <v>0.192</v>
      </c>
      <c r="D15" s="25">
        <v>0.1749</v>
      </c>
      <c r="E15" s="26">
        <v>0.2</v>
      </c>
      <c r="F15" s="25">
        <v>0.05</v>
      </c>
      <c r="G15" s="25">
        <v>3.6364E-2</v>
      </c>
      <c r="H15" s="27">
        <v>2.564E-2</v>
      </c>
      <c r="I15" s="38"/>
      <c r="J15" s="8">
        <f t="shared" si="4"/>
        <v>0.81619552823435915</v>
      </c>
      <c r="K15" s="8">
        <f t="shared" si="4"/>
        <v>0.81619552823435915</v>
      </c>
      <c r="L15" s="8">
        <f t="shared" ca="1" si="4"/>
        <v>0.81408746945287469</v>
      </c>
      <c r="M15" s="8"/>
      <c r="N15" s="16" t="s">
        <v>78</v>
      </c>
      <c r="O15" t="s">
        <v>96</v>
      </c>
      <c r="P15" s="8">
        <f t="shared" ca="1" si="3"/>
        <v>0.8124025871246896</v>
      </c>
      <c r="Q15" s="8">
        <f t="shared" ca="1" si="3"/>
        <v>0.33802010663104226</v>
      </c>
      <c r="R15" s="8">
        <f t="shared" ca="1" si="3"/>
        <v>0.336468267508512</v>
      </c>
      <c r="S15" s="8">
        <f t="shared" ca="1" si="3"/>
        <v>0.78482182233967579</v>
      </c>
      <c r="T15" s="8">
        <f t="shared" ca="1" si="3"/>
        <v>0.84216475686572845</v>
      </c>
    </row>
    <row r="16" spans="2:20" x14ac:dyDescent="0.55000000000000004">
      <c r="B16" s="23">
        <v>4</v>
      </c>
      <c r="C16" s="25">
        <v>0.1152</v>
      </c>
      <c r="D16" s="25">
        <v>0.1249</v>
      </c>
      <c r="E16" s="26">
        <v>0.2</v>
      </c>
      <c r="F16" s="25">
        <v>0.05</v>
      </c>
      <c r="G16" s="25">
        <v>3.6364E-2</v>
      </c>
      <c r="H16" s="27">
        <v>2.564E-2</v>
      </c>
      <c r="I16" s="38"/>
      <c r="J16" s="8">
        <f t="shared" si="4"/>
        <v>0.73737993635691401</v>
      </c>
      <c r="K16" s="8">
        <f t="shared" si="4"/>
        <v>0.73737993635691401</v>
      </c>
      <c r="L16" s="8">
        <f t="shared" ca="1" si="4"/>
        <v>0.73452503933696534</v>
      </c>
      <c r="M16" s="8"/>
      <c r="N16" s="16" t="s">
        <v>78</v>
      </c>
      <c r="O16" t="s">
        <v>97</v>
      </c>
      <c r="P16" s="8">
        <f t="shared" ca="1" si="3"/>
        <v>0.81042096493475191</v>
      </c>
      <c r="Q16" s="8">
        <f t="shared" ca="1" si="3"/>
        <v>0.33470947553691843</v>
      </c>
      <c r="R16" s="8">
        <f t="shared" ca="1" si="3"/>
        <v>0.33300220078638831</v>
      </c>
      <c r="S16" s="8">
        <f t="shared" ca="1" si="3"/>
        <v>0.78252053815167855</v>
      </c>
      <c r="T16" s="8">
        <f t="shared" ca="1" si="3"/>
        <v>0.84043822558883619</v>
      </c>
    </row>
    <row r="17" spans="2:13" x14ac:dyDescent="0.55000000000000004">
      <c r="B17" s="23">
        <v>5</v>
      </c>
      <c r="C17" s="25">
        <v>0.1152</v>
      </c>
      <c r="D17" s="25">
        <v>8.9300000000000004E-2</v>
      </c>
      <c r="E17" s="26">
        <v>0.2</v>
      </c>
      <c r="F17" s="25">
        <v>0.05</v>
      </c>
      <c r="G17" s="25">
        <v>3.6364E-2</v>
      </c>
      <c r="H17" s="27">
        <v>2.564E-2</v>
      </c>
      <c r="I17" s="38"/>
      <c r="J17" s="8">
        <f t="shared" si="4"/>
        <v>0.66617514030976444</v>
      </c>
      <c r="K17" s="8">
        <f t="shared" si="4"/>
        <v>0.66617514030976444</v>
      </c>
      <c r="L17" s="8">
        <f t="shared" ca="1" si="4"/>
        <v>0.66273840792018512</v>
      </c>
      <c r="M17" s="8"/>
    </row>
    <row r="18" spans="2:13" x14ac:dyDescent="0.55000000000000004">
      <c r="B18" s="23">
        <v>6</v>
      </c>
      <c r="C18" s="25">
        <v>5.7599999999999998E-2</v>
      </c>
      <c r="D18" s="25">
        <v>8.9200000000000002E-2</v>
      </c>
      <c r="E18" s="26">
        <v>0.1</v>
      </c>
      <c r="F18" s="25">
        <v>0.05</v>
      </c>
      <c r="G18" s="25">
        <v>3.6364E-2</v>
      </c>
      <c r="H18" s="27">
        <v>2.564E-2</v>
      </c>
      <c r="I18" s="38"/>
      <c r="J18" s="8">
        <f t="shared" si="4"/>
        <v>0.60184620666424948</v>
      </c>
      <c r="K18" s="8">
        <f t="shared" si="4"/>
        <v>0.60184620666424948</v>
      </c>
      <c r="L18" s="8">
        <f t="shared" ca="1" si="4"/>
        <v>0.59796763052360336</v>
      </c>
      <c r="M18" s="8"/>
    </row>
    <row r="19" spans="2:13" x14ac:dyDescent="0.55000000000000004">
      <c r="B19" s="23">
        <v>7</v>
      </c>
      <c r="C19" s="20"/>
      <c r="D19" s="25">
        <v>8.9300000000000004E-2</v>
      </c>
      <c r="E19" s="19"/>
      <c r="F19" s="25">
        <v>0.05</v>
      </c>
      <c r="G19" s="25">
        <v>3.6364E-2</v>
      </c>
      <c r="H19" s="27">
        <v>2.564E-2</v>
      </c>
      <c r="I19" s="38"/>
      <c r="J19" s="8">
        <f t="shared" si="4"/>
        <v>0.54372917054172654</v>
      </c>
      <c r="K19" s="8">
        <f t="shared" si="4"/>
        <v>0.54372917054172654</v>
      </c>
      <c r="L19" s="8">
        <f t="shared" ca="1" si="4"/>
        <v>0.53952703341297059</v>
      </c>
      <c r="M19" s="8"/>
    </row>
    <row r="20" spans="2:13" x14ac:dyDescent="0.55000000000000004">
      <c r="B20" s="23">
        <v>8</v>
      </c>
      <c r="C20" s="20"/>
      <c r="D20" s="25">
        <v>4.4600000000000001E-2</v>
      </c>
      <c r="E20" s="19"/>
      <c r="F20" s="25">
        <v>0.05</v>
      </c>
      <c r="G20" s="25">
        <v>3.6364E-2</v>
      </c>
      <c r="H20" s="27">
        <v>2.564E-2</v>
      </c>
      <c r="I20" s="38"/>
      <c r="J20" s="8">
        <f t="shared" si="4"/>
        <v>0.49122418256417233</v>
      </c>
      <c r="K20" s="8">
        <f t="shared" si="4"/>
        <v>0.49122418256417233</v>
      </c>
      <c r="L20" s="8">
        <f t="shared" ca="1" si="4"/>
        <v>0.48679795514769175</v>
      </c>
      <c r="M20" s="8"/>
    </row>
    <row r="21" spans="2:13" x14ac:dyDescent="0.55000000000000004">
      <c r="B21" s="23">
        <f>B20+1</f>
        <v>9</v>
      </c>
      <c r="C21" s="20"/>
      <c r="D21" s="20"/>
      <c r="E21" s="19"/>
      <c r="F21" s="25">
        <v>0.05</v>
      </c>
      <c r="G21" s="25">
        <v>3.6364E-2</v>
      </c>
      <c r="H21" s="27">
        <v>2.564E-2</v>
      </c>
      <c r="I21" s="38"/>
      <c r="J21" s="8">
        <f t="shared" si="4"/>
        <v>0.44378931756673445</v>
      </c>
      <c r="K21" s="8">
        <f t="shared" si="4"/>
        <v>0.44378931756673445</v>
      </c>
      <c r="L21" s="8">
        <f t="shared" ca="1" si="4"/>
        <v>0.43922219733258172</v>
      </c>
      <c r="M21" s="8"/>
    </row>
    <row r="22" spans="2:13" x14ac:dyDescent="0.55000000000000004">
      <c r="B22" s="23">
        <f t="shared" ref="B22:B51" si="5">B21+1</f>
        <v>10</v>
      </c>
      <c r="C22" s="20"/>
      <c r="D22" s="20"/>
      <c r="E22" s="19"/>
      <c r="F22" s="25">
        <v>0.05</v>
      </c>
      <c r="G22" s="25">
        <v>3.6364E-2</v>
      </c>
      <c r="H22" s="27">
        <v>2.564E-2</v>
      </c>
      <c r="I22" s="38"/>
      <c r="J22" s="8">
        <f t="shared" si="4"/>
        <v>0.40093498116945597</v>
      </c>
      <c r="K22" s="8">
        <f t="shared" si="4"/>
        <v>0.40093498116945597</v>
      </c>
      <c r="L22" s="8">
        <f t="shared" ca="1" si="4"/>
        <v>0.39629611544101839</v>
      </c>
      <c r="M22" s="8"/>
    </row>
    <row r="23" spans="2:13" x14ac:dyDescent="0.55000000000000004">
      <c r="B23" s="23">
        <f t="shared" si="5"/>
        <v>11</v>
      </c>
      <c r="C23" s="20"/>
      <c r="D23" s="20"/>
      <c r="E23" s="19"/>
      <c r="F23" s="25">
        <v>0.05</v>
      </c>
      <c r="G23" s="25">
        <v>3.6364E-2</v>
      </c>
      <c r="H23" s="27">
        <v>2.564E-2</v>
      </c>
      <c r="I23" s="38"/>
      <c r="J23" s="8">
        <f t="shared" si="4"/>
        <v>0.36221885647614654</v>
      </c>
      <c r="K23" s="8">
        <f t="shared" si="4"/>
        <v>0.36221885647614654</v>
      </c>
      <c r="L23" s="8">
        <f t="shared" ca="1" si="4"/>
        <v>0.35756528715401259</v>
      </c>
      <c r="M23" s="8"/>
    </row>
    <row r="24" spans="2:13" x14ac:dyDescent="0.55000000000000004">
      <c r="B24" s="23">
        <f t="shared" si="5"/>
        <v>12</v>
      </c>
      <c r="C24" s="20"/>
      <c r="D24" s="20"/>
      <c r="E24" s="19"/>
      <c r="F24" s="25">
        <v>0.05</v>
      </c>
      <c r="G24" s="25">
        <v>3.6364E-2</v>
      </c>
      <c r="H24" s="27">
        <v>2.564E-2</v>
      </c>
      <c r="I24" s="38"/>
      <c r="J24" s="8">
        <f t="shared" si="4"/>
        <v>0.32724133874323691</v>
      </c>
      <c r="K24" s="8">
        <f t="shared" si="4"/>
        <v>0.32724133874323691</v>
      </c>
      <c r="L24" s="8">
        <f t="shared" ca="1" si="4"/>
        <v>0.32261970177338289</v>
      </c>
      <c r="M24" s="8"/>
    </row>
    <row r="25" spans="2:13" x14ac:dyDescent="0.55000000000000004">
      <c r="B25" s="23">
        <f t="shared" si="5"/>
        <v>13</v>
      </c>
      <c r="C25" s="20"/>
      <c r="D25" s="20"/>
      <c r="E25" s="19"/>
      <c r="F25" s="25">
        <v>0.05</v>
      </c>
      <c r="G25" s="25">
        <v>3.6364E-2</v>
      </c>
      <c r="H25" s="27">
        <v>2.564E-2</v>
      </c>
      <c r="I25" s="38"/>
      <c r="J25" s="8">
        <f t="shared" si="4"/>
        <v>0.29564141089799395</v>
      </c>
      <c r="K25" s="8">
        <f t="shared" si="4"/>
        <v>0.29564141089799395</v>
      </c>
      <c r="L25" s="8">
        <f t="shared" ca="1" si="4"/>
        <v>0.29108941978340064</v>
      </c>
      <c r="M25" s="8"/>
    </row>
    <row r="26" spans="2:13" x14ac:dyDescent="0.55000000000000004">
      <c r="B26" s="23">
        <f t="shared" si="5"/>
        <v>14</v>
      </c>
      <c r="C26" s="20"/>
      <c r="D26" s="20"/>
      <c r="E26" s="19"/>
      <c r="F26" s="25">
        <v>0.05</v>
      </c>
      <c r="G26" s="25">
        <v>3.6364E-2</v>
      </c>
      <c r="H26" s="27">
        <v>2.564E-2</v>
      </c>
      <c r="I26" s="38"/>
      <c r="J26" s="8">
        <f t="shared" si="4"/>
        <v>0.2670929173356551</v>
      </c>
      <c r="K26" s="8">
        <f t="shared" si="4"/>
        <v>0.2670929173356551</v>
      </c>
      <c r="L26" s="8">
        <f t="shared" ca="1" si="4"/>
        <v>0.26264065661233443</v>
      </c>
      <c r="M26" s="8"/>
    </row>
    <row r="27" spans="2:13" x14ac:dyDescent="0.55000000000000004">
      <c r="B27" s="23">
        <f t="shared" si="5"/>
        <v>15</v>
      </c>
      <c r="C27" s="20"/>
      <c r="D27" s="20"/>
      <c r="E27" s="19"/>
      <c r="F27" s="25">
        <v>0.05</v>
      </c>
      <c r="G27" s="25">
        <v>3.6364E-2</v>
      </c>
      <c r="H27" s="27">
        <v>2.564E-2</v>
      </c>
      <c r="I27" s="38"/>
      <c r="J27" s="8">
        <f t="shared" si="4"/>
        <v>0.24130119753583937</v>
      </c>
      <c r="K27" s="8">
        <f t="shared" si="4"/>
        <v>0.24130119753583937</v>
      </c>
      <c r="L27" s="8">
        <f t="shared" ca="1" si="4"/>
        <v>0.23697224913597417</v>
      </c>
      <c r="M27" s="8"/>
    </row>
    <row r="28" spans="2:13" x14ac:dyDescent="0.55000000000000004">
      <c r="B28" s="23">
        <f t="shared" si="5"/>
        <v>16</v>
      </c>
      <c r="C28" s="20"/>
      <c r="D28" s="20"/>
      <c r="E28" s="19"/>
      <c r="F28" s="25">
        <v>0.05</v>
      </c>
      <c r="G28" s="25">
        <v>3.6364E-2</v>
      </c>
      <c r="H28" s="27">
        <v>2.564E-2</v>
      </c>
      <c r="I28" s="38"/>
      <c r="J28" s="8">
        <f t="shared" si="4"/>
        <v>0.21800004475243101</v>
      </c>
      <c r="K28" s="8">
        <f t="shared" si="4"/>
        <v>0.21800004475243101</v>
      </c>
      <c r="L28" s="8">
        <f t="shared" ca="1" si="4"/>
        <v>0.21381246751697672</v>
      </c>
      <c r="M28" s="8"/>
    </row>
    <row r="29" spans="2:13" x14ac:dyDescent="0.55000000000000004">
      <c r="B29" s="23">
        <f t="shared" si="5"/>
        <v>17</v>
      </c>
      <c r="C29" s="20"/>
      <c r="D29" s="20"/>
      <c r="E29" s="19"/>
      <c r="F29" s="25">
        <v>0.05</v>
      </c>
      <c r="G29" s="25">
        <v>3.6364E-2</v>
      </c>
      <c r="H29" s="27">
        <v>2.564E-2</v>
      </c>
      <c r="I29" s="38"/>
      <c r="J29" s="8">
        <f t="shared" si="4"/>
        <v>0.19694895838634788</v>
      </c>
      <c r="K29" s="8">
        <f t="shared" si="4"/>
        <v>0.19694895838634788</v>
      </c>
      <c r="L29" s="8">
        <f t="shared" ca="1" si="4"/>
        <v>0.19291613862966137</v>
      </c>
      <c r="M29" s="8"/>
    </row>
    <row r="30" spans="2:13" x14ac:dyDescent="0.55000000000000004">
      <c r="B30" s="23">
        <f t="shared" si="5"/>
        <v>18</v>
      </c>
      <c r="C30" s="20"/>
      <c r="D30" s="20"/>
      <c r="E30" s="19"/>
      <c r="F30" s="25">
        <v>0.05</v>
      </c>
      <c r="G30" s="25">
        <v>3.6364E-2</v>
      </c>
      <c r="H30" s="27">
        <v>2.564E-2</v>
      </c>
      <c r="I30" s="38"/>
      <c r="J30" s="8">
        <f t="shared" si="4"/>
        <v>0.17793066168182439</v>
      </c>
      <c r="K30" s="8">
        <f t="shared" si="4"/>
        <v>0.17793066168182439</v>
      </c>
      <c r="L30" s="8">
        <f t="shared" ca="1" si="4"/>
        <v>0.17406205061837057</v>
      </c>
      <c r="M30" s="8"/>
    </row>
    <row r="31" spans="2:13" x14ac:dyDescent="0.55000000000000004">
      <c r="B31" s="23">
        <f t="shared" si="5"/>
        <v>19</v>
      </c>
      <c r="C31" s="20"/>
      <c r="D31" s="20"/>
      <c r="E31" s="19"/>
      <c r="F31" s="25">
        <v>0.05</v>
      </c>
      <c r="G31" s="25">
        <v>3.6364E-2</v>
      </c>
      <c r="H31" s="27">
        <v>2.564E-2</v>
      </c>
      <c r="I31" s="38"/>
      <c r="J31" s="8">
        <f t="shared" si="4"/>
        <v>0.16074885912535203</v>
      </c>
      <c r="K31" s="8">
        <f t="shared" si="4"/>
        <v>0.16074885912535203</v>
      </c>
      <c r="L31" s="8">
        <f t="shared" ca="1" si="4"/>
        <v>0.15705061111364099</v>
      </c>
      <c r="M31" s="8"/>
    </row>
    <row r="32" spans="2:13" x14ac:dyDescent="0.55000000000000004">
      <c r="B32" s="23">
        <f t="shared" si="5"/>
        <v>20</v>
      </c>
      <c r="C32" s="20"/>
      <c r="D32" s="20"/>
      <c r="E32" s="19"/>
      <c r="F32" s="25">
        <v>0.05</v>
      </c>
      <c r="G32" s="25">
        <v>3.6364E-2</v>
      </c>
      <c r="H32" s="27">
        <v>2.564E-2</v>
      </c>
      <c r="I32" s="38"/>
      <c r="J32" s="8">
        <f t="shared" si="4"/>
        <v>0.14522621040048569</v>
      </c>
      <c r="K32" s="8">
        <f t="shared" si="4"/>
        <v>0.14522621040048569</v>
      </c>
      <c r="L32" s="8">
        <f t="shared" ca="1" si="4"/>
        <v>0.14170173431568747</v>
      </c>
      <c r="M32" s="8"/>
    </row>
    <row r="33" spans="2:13" x14ac:dyDescent="0.55000000000000004">
      <c r="B33" s="23">
        <f t="shared" si="5"/>
        <v>21</v>
      </c>
      <c r="C33" s="20"/>
      <c r="D33" s="20"/>
      <c r="E33" s="19"/>
      <c r="F33" s="28">
        <v>2.5000000000000001E-2</v>
      </c>
      <c r="G33" s="25">
        <v>3.6364E-2</v>
      </c>
      <c r="H33" s="27">
        <v>2.564E-2</v>
      </c>
      <c r="I33" s="38"/>
      <c r="J33" s="8">
        <f t="shared" si="4"/>
        <v>0.13120249998688727</v>
      </c>
      <c r="K33" s="8">
        <f t="shared" si="4"/>
        <v>0.13120249998688727</v>
      </c>
      <c r="L33" s="8">
        <f t="shared" ca="1" si="4"/>
        <v>0.1278529345775315</v>
      </c>
      <c r="M33" s="8"/>
    </row>
    <row r="34" spans="2:13" x14ac:dyDescent="0.55000000000000004">
      <c r="B34" s="23">
        <f t="shared" si="5"/>
        <v>22</v>
      </c>
      <c r="C34" s="20"/>
      <c r="D34" s="20"/>
      <c r="E34" s="19"/>
      <c r="F34" s="20"/>
      <c r="G34" s="25">
        <v>3.6364E-2</v>
      </c>
      <c r="H34" s="27">
        <v>2.564E-2</v>
      </c>
      <c r="I34" s="38"/>
      <c r="J34" s="8">
        <f t="shared" si="4"/>
        <v>0.11853298351129861</v>
      </c>
      <c r="K34" s="8">
        <f t="shared" si="4"/>
        <v>0.11853298351129861</v>
      </c>
      <c r="L34" s="8">
        <f t="shared" ca="1" si="4"/>
        <v>0.11535760630614159</v>
      </c>
      <c r="M34" s="8"/>
    </row>
    <row r="35" spans="2:13" x14ac:dyDescent="0.55000000000000004">
      <c r="B35" s="23">
        <f t="shared" si="5"/>
        <v>23</v>
      </c>
      <c r="C35" s="20"/>
      <c r="D35" s="20"/>
      <c r="E35" s="19"/>
      <c r="F35" s="20"/>
      <c r="G35" s="25">
        <v>3.6364E-2</v>
      </c>
      <c r="H35" s="27">
        <v>2.564E-2</v>
      </c>
      <c r="I35" s="38"/>
      <c r="J35" s="8">
        <f t="shared" si="4"/>
        <v>0.10708689378246594</v>
      </c>
      <c r="K35" s="8">
        <f t="shared" si="4"/>
        <v>0.10708689378246594</v>
      </c>
      <c r="L35" s="8">
        <f t="shared" ca="1" si="4"/>
        <v>0.10408347197234658</v>
      </c>
      <c r="M35" s="8"/>
    </row>
    <row r="36" spans="2:13" x14ac:dyDescent="0.55000000000000004">
      <c r="B36" s="23">
        <f t="shared" si="5"/>
        <v>24</v>
      </c>
      <c r="C36" s="20"/>
      <c r="D36" s="20"/>
      <c r="E36" s="19"/>
      <c r="F36" s="20"/>
      <c r="G36" s="25">
        <v>3.6364E-2</v>
      </c>
      <c r="H36" s="27">
        <v>2.564E-2</v>
      </c>
      <c r="I36" s="38"/>
      <c r="J36" s="8">
        <f t="shared" si="4"/>
        <v>9.6746091090198924E-2</v>
      </c>
      <c r="K36" s="8">
        <f t="shared" si="4"/>
        <v>9.6746091090198924E-2</v>
      </c>
      <c r="L36" s="8">
        <f t="shared" ca="1" si="4"/>
        <v>9.3911181799907775E-2</v>
      </c>
      <c r="M36" s="8"/>
    </row>
    <row r="37" spans="2:13" x14ac:dyDescent="0.55000000000000004">
      <c r="B37" s="23">
        <f t="shared" si="5"/>
        <v>25</v>
      </c>
      <c r="C37" s="20"/>
      <c r="D37" s="20"/>
      <c r="E37" s="19"/>
      <c r="F37" s="20"/>
      <c r="G37" s="25">
        <v>3.6364E-2</v>
      </c>
      <c r="H37" s="27">
        <v>2.564E-2</v>
      </c>
      <c r="I37" s="38"/>
      <c r="J37" s="8">
        <f t="shared" si="4"/>
        <v>8.7403843837756498E-2</v>
      </c>
      <c r="K37" s="8">
        <f t="shared" si="4"/>
        <v>8.7403843837756498E-2</v>
      </c>
      <c r="L37" s="8">
        <f t="shared" ca="1" si="4"/>
        <v>8.4733050309836813E-2</v>
      </c>
      <c r="M37" s="8"/>
    </row>
    <row r="38" spans="2:13" x14ac:dyDescent="0.55000000000000004">
      <c r="B38" s="23">
        <f t="shared" si="5"/>
        <v>26</v>
      </c>
      <c r="C38" s="20"/>
      <c r="D38" s="20"/>
      <c r="E38" s="19"/>
      <c r="F38" s="20"/>
      <c r="G38" s="25">
        <v>3.6364E-2</v>
      </c>
      <c r="H38" s="27">
        <v>2.564E-2</v>
      </c>
      <c r="I38" s="38"/>
      <c r="J38" s="8">
        <f t="shared" si="4"/>
        <v>7.8963726921974356E-2</v>
      </c>
      <c r="K38" s="8">
        <f t="shared" si="4"/>
        <v>7.8963726921974356E-2</v>
      </c>
      <c r="L38" s="8">
        <f t="shared" ca="1" si="4"/>
        <v>7.6451916344815796E-2</v>
      </c>
      <c r="M38" s="8"/>
    </row>
    <row r="39" spans="2:13" x14ac:dyDescent="0.55000000000000004">
      <c r="B39" s="23">
        <f t="shared" si="5"/>
        <v>27</v>
      </c>
      <c r="C39" s="20"/>
      <c r="D39" s="20"/>
      <c r="E39" s="19"/>
      <c r="F39" s="20"/>
      <c r="G39" s="25">
        <v>3.6364E-2</v>
      </c>
      <c r="H39" s="27">
        <v>2.564E-2</v>
      </c>
      <c r="I39" s="38"/>
      <c r="J39" s="8">
        <f t="shared" si="4"/>
        <v>7.1338626490871096E-2</v>
      </c>
      <c r="K39" s="8">
        <f t="shared" si="4"/>
        <v>7.1338626490871096E-2</v>
      </c>
      <c r="L39" s="8">
        <f t="shared" ca="1" si="4"/>
        <v>6.8980114505758167E-2</v>
      </c>
      <c r="M39" s="8"/>
    </row>
    <row r="40" spans="2:13" x14ac:dyDescent="0.55000000000000004">
      <c r="B40" s="23">
        <f>B39+1</f>
        <v>28</v>
      </c>
      <c r="C40" s="20"/>
      <c r="D40" s="20"/>
      <c r="E40" s="19"/>
      <c r="F40" s="20"/>
      <c r="G40" s="25">
        <v>3.6364E-2</v>
      </c>
      <c r="H40" s="27">
        <v>2.564E-2</v>
      </c>
      <c r="I40" s="38"/>
      <c r="J40" s="8">
        <f t="shared" si="4"/>
        <v>6.4449840806434538E-2</v>
      </c>
      <c r="K40" s="8">
        <f t="shared" si="4"/>
        <v>6.4449840806434538E-2</v>
      </c>
      <c r="L40" s="8">
        <f t="shared" ca="1" si="4"/>
        <v>6.2238547111973942E-2</v>
      </c>
      <c r="M40" s="8"/>
    </row>
    <row r="41" spans="2:13" x14ac:dyDescent="0.55000000000000004">
      <c r="B41" s="23">
        <f t="shared" si="5"/>
        <v>29</v>
      </c>
      <c r="C41" s="20"/>
      <c r="D41" s="20"/>
      <c r="E41" s="19"/>
      <c r="F41" s="20"/>
      <c r="G41" s="20"/>
      <c r="H41" s="27">
        <v>2.564E-2</v>
      </c>
      <c r="I41" s="38"/>
      <c r="J41" s="8">
        <f t="shared" si="4"/>
        <v>5.8226267932230173E-2</v>
      </c>
      <c r="K41" s="8">
        <f t="shared" si="4"/>
        <v>5.8226267932230173E-2</v>
      </c>
      <c r="L41" s="8">
        <f t="shared" ca="1" si="4"/>
        <v>5.61558468605622E-2</v>
      </c>
      <c r="M41" s="8"/>
    </row>
    <row r="42" spans="2:13" x14ac:dyDescent="0.55000000000000004">
      <c r="B42" s="23">
        <f t="shared" si="5"/>
        <v>30</v>
      </c>
      <c r="C42" s="20"/>
      <c r="D42" s="20"/>
      <c r="E42" s="19"/>
      <c r="F42" s="20"/>
      <c r="G42" s="25"/>
      <c r="H42" s="27">
        <v>2.564E-2</v>
      </c>
      <c r="I42" s="38"/>
      <c r="J42" s="8">
        <f t="shared" si="4"/>
        <v>5.260367186162819E-2</v>
      </c>
      <c r="K42" s="8">
        <f t="shared" si="4"/>
        <v>5.260367186162819E-2</v>
      </c>
      <c r="L42" s="8">
        <f t="shared" ca="1" si="4"/>
        <v>5.0667621320810395E-2</v>
      </c>
      <c r="M42" s="8"/>
    </row>
    <row r="43" spans="2:13" x14ac:dyDescent="0.55000000000000004">
      <c r="B43" s="23">
        <f t="shared" si="5"/>
        <v>31</v>
      </c>
      <c r="C43" s="20"/>
      <c r="D43" s="20"/>
      <c r="E43" s="19"/>
      <c r="F43" s="20"/>
      <c r="G43" s="20"/>
      <c r="H43" s="27">
        <v>2.564E-2</v>
      </c>
      <c r="I43" s="38"/>
      <c r="J43" s="8">
        <f t="shared" si="4"/>
        <v>4.7524019512061935E-2</v>
      </c>
      <c r="K43" s="8">
        <f t="shared" si="4"/>
        <v>4.7524019512061935E-2</v>
      </c>
      <c r="L43" s="8">
        <f t="shared" ca="1" si="4"/>
        <v>4.5715771265698243E-2</v>
      </c>
      <c r="M43" s="8"/>
    </row>
    <row r="44" spans="2:13" x14ac:dyDescent="0.55000000000000004">
      <c r="B44" s="23">
        <f t="shared" si="5"/>
        <v>32</v>
      </c>
      <c r="C44" s="20"/>
      <c r="D44" s="20"/>
      <c r="E44" s="19"/>
      <c r="F44" s="20"/>
      <c r="G44" s="20"/>
      <c r="H44" s="27">
        <v>2.564E-2</v>
      </c>
      <c r="I44" s="38"/>
      <c r="J44" s="8">
        <f t="shared" si="4"/>
        <v>4.2934881742168515E-2</v>
      </c>
      <c r="K44" s="8">
        <f t="shared" si="4"/>
        <v>4.2934881742168515E-2</v>
      </c>
      <c r="L44" s="8">
        <f t="shared" ca="1" si="4"/>
        <v>4.1247875624255047E-2</v>
      </c>
      <c r="M44" s="8"/>
    </row>
    <row r="45" spans="2:13" x14ac:dyDescent="0.55000000000000004">
      <c r="B45" s="23">
        <f t="shared" si="5"/>
        <v>33</v>
      </c>
      <c r="C45" s="20"/>
      <c r="D45" s="20"/>
      <c r="E45" s="19"/>
      <c r="F45" s="20"/>
      <c r="G45" s="20"/>
      <c r="H45" s="27">
        <v>2.564E-2</v>
      </c>
      <c r="I45" s="38"/>
      <c r="J45" s="8">
        <f t="shared" si="4"/>
        <v>3.8788892209467386E-2</v>
      </c>
      <c r="K45" s="8">
        <f t="shared" si="4"/>
        <v>3.8788892209467386E-2</v>
      </c>
      <c r="L45" s="8">
        <f t="shared" ca="1" si="4"/>
        <v>3.7216636543778721E-2</v>
      </c>
      <c r="M45" s="8"/>
    </row>
    <row r="46" spans="2:13" x14ac:dyDescent="0.55000000000000004">
      <c r="B46" s="23">
        <f t="shared" si="5"/>
        <v>34</v>
      </c>
      <c r="C46" s="20"/>
      <c r="D46" s="20"/>
      <c r="E46" s="19"/>
      <c r="F46" s="20"/>
      <c r="G46" s="20"/>
      <c r="H46" s="27">
        <v>2.564E-2</v>
      </c>
      <c r="I46" s="38"/>
      <c r="J46" s="8">
        <f t="shared" si="4"/>
        <v>3.5043258483228971E-2</v>
      </c>
      <c r="K46" s="8">
        <f t="shared" si="4"/>
        <v>3.5043258483228971E-2</v>
      </c>
      <c r="L46" s="8">
        <f t="shared" ca="1" si="4"/>
        <v>3.357937868725671E-2</v>
      </c>
      <c r="M46" s="8"/>
    </row>
    <row r="47" spans="2:13" x14ac:dyDescent="0.55000000000000004">
      <c r="B47" s="23">
        <f>B46+1</f>
        <v>35</v>
      </c>
      <c r="C47" s="20"/>
      <c r="D47" s="20"/>
      <c r="E47" s="19"/>
      <c r="F47" s="20"/>
      <c r="G47" s="20"/>
      <c r="H47" s="27">
        <v>2.564E-2</v>
      </c>
      <c r="I47" s="38"/>
      <c r="J47" s="8">
        <f t="shared" si="4"/>
        <v>3.1659320366531851E-2</v>
      </c>
      <c r="K47" s="8">
        <f t="shared" si="4"/>
        <v>3.1659320366531851E-2</v>
      </c>
      <c r="L47" s="8">
        <f t="shared" ca="1" si="4"/>
        <v>3.0297597465472198E-2</v>
      </c>
      <c r="M47" s="8"/>
    </row>
    <row r="48" spans="2:13" x14ac:dyDescent="0.55000000000000004">
      <c r="B48" s="23">
        <f t="shared" si="5"/>
        <v>36</v>
      </c>
      <c r="C48" s="20"/>
      <c r="D48" s="20"/>
      <c r="E48" s="19"/>
      <c r="F48" s="20"/>
      <c r="G48" s="20"/>
      <c r="H48" s="27">
        <v>2.564E-2</v>
      </c>
      <c r="I48" s="38"/>
      <c r="J48" s="8">
        <f t="shared" si="4"/>
        <v>2.8602150868772255E-2</v>
      </c>
      <c r="K48" s="8">
        <f t="shared" si="4"/>
        <v>2.8602150868772255E-2</v>
      </c>
      <c r="L48" s="8">
        <f t="shared" ca="1" si="4"/>
        <v>2.7336551421308603E-2</v>
      </c>
      <c r="M48" s="8"/>
    </row>
    <row r="49" spans="2:13" x14ac:dyDescent="0.55000000000000004">
      <c r="B49" s="23">
        <f t="shared" si="5"/>
        <v>37</v>
      </c>
      <c r="C49" s="20"/>
      <c r="D49" s="20"/>
      <c r="E49" s="19"/>
      <c r="F49" s="20"/>
      <c r="G49" s="20"/>
      <c r="H49" s="27">
        <v>2.564E-2</v>
      </c>
      <c r="I49" s="38"/>
      <c r="J49" s="8">
        <f t="shared" si="4"/>
        <v>2.5840195710102265E-2</v>
      </c>
      <c r="K49" s="8">
        <f t="shared" si="4"/>
        <v>2.5840195710102265E-2</v>
      </c>
      <c r="L49" s="8">
        <f t="shared" ca="1" si="4"/>
        <v>2.4664894451168092E-2</v>
      </c>
      <c r="M49" s="8"/>
    </row>
    <row r="50" spans="2:13" x14ac:dyDescent="0.55000000000000004">
      <c r="B50" s="23">
        <f t="shared" si="5"/>
        <v>38</v>
      </c>
      <c r="C50" s="20"/>
      <c r="D50" s="20"/>
      <c r="E50" s="19"/>
      <c r="F50" s="20"/>
      <c r="G50" s="20"/>
      <c r="H50" s="27">
        <v>2.564E-2</v>
      </c>
      <c r="I50" s="38"/>
      <c r="J50" s="8">
        <f t="shared" si="4"/>
        <v>2.3344947636976407E-2</v>
      </c>
      <c r="K50" s="8">
        <f t="shared" si="4"/>
        <v>2.3344947636976407E-2</v>
      </c>
      <c r="L50" s="8">
        <f t="shared" ca="1" si="4"/>
        <v>2.2254343970141508E-2</v>
      </c>
      <c r="M50" s="8"/>
    </row>
    <row r="51" spans="2:13" x14ac:dyDescent="0.55000000000000004">
      <c r="B51" s="23">
        <f t="shared" si="5"/>
        <v>39</v>
      </c>
      <c r="C51" s="20"/>
      <c r="D51" s="20"/>
      <c r="E51" s="19"/>
      <c r="F51" s="20"/>
      <c r="G51" s="20"/>
      <c r="H51" s="27">
        <v>2.564E-2</v>
      </c>
      <c r="I51" s="38"/>
      <c r="J51" s="8">
        <f t="shared" si="4"/>
        <v>2.1090652187286143E-2</v>
      </c>
      <c r="K51" s="8">
        <f t="shared" si="4"/>
        <v>2.1090652187286143E-2</v>
      </c>
      <c r="L51" s="8">
        <f t="shared" ca="1" si="4"/>
        <v>2.0079381508073681E-2</v>
      </c>
      <c r="M51" s="8"/>
    </row>
    <row r="52" spans="2:13" x14ac:dyDescent="0.55000000000000004">
      <c r="B52" s="29">
        <v>40</v>
      </c>
      <c r="C52" s="30"/>
      <c r="D52" s="30"/>
      <c r="E52" s="31"/>
      <c r="F52" s="30"/>
      <c r="G52" s="30"/>
      <c r="H52" s="32">
        <v>1.2840000000000001E-2</v>
      </c>
      <c r="I52" s="39"/>
      <c r="J52" s="8">
        <f t="shared" si="4"/>
        <v>1.9054041868165412E-2</v>
      </c>
      <c r="K52" s="8">
        <f t="shared" si="4"/>
        <v>1.9054041868165412E-2</v>
      </c>
      <c r="L52" s="8">
        <f t="shared" ca="1" si="4"/>
        <v>1.8116982566986337E-2</v>
      </c>
    </row>
    <row r="53" spans="2:13" x14ac:dyDescent="0.55000000000000004">
      <c r="B53" s="33" t="s">
        <v>90</v>
      </c>
      <c r="C53" s="34">
        <f>SUM(C13:C52)</f>
        <v>0.99999999999999989</v>
      </c>
      <c r="D53" s="34">
        <f t="shared" ref="D53:H53" si="6">SUM(D13:D52)</f>
        <v>1.0000000000000002</v>
      </c>
      <c r="E53" s="35">
        <f t="shared" si="6"/>
        <v>0.99999999999999989</v>
      </c>
      <c r="F53" s="34">
        <f t="shared" si="6"/>
        <v>1.0000000000000002</v>
      </c>
      <c r="G53" s="34">
        <f t="shared" si="6"/>
        <v>1.0000099999999994</v>
      </c>
      <c r="H53" s="36">
        <f t="shared" si="6"/>
        <v>0.99999999999999989</v>
      </c>
      <c r="I53" s="25"/>
    </row>
  </sheetData>
  <mergeCells count="7">
    <mergeCell ref="C3:D3"/>
    <mergeCell ref="E3:H3"/>
    <mergeCell ref="O3:T3"/>
    <mergeCell ref="O11:T11"/>
    <mergeCell ref="B10:H10"/>
    <mergeCell ref="C11:D11"/>
    <mergeCell ref="E11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4" zoomScaleNormal="100" workbookViewId="0">
      <selection activeCell="I4" sqref="I4"/>
    </sheetView>
  </sheetViews>
  <sheetFormatPr defaultRowHeight="14.4" x14ac:dyDescent="0.55000000000000004"/>
  <cols>
    <col min="1" max="1" width="2.15625" style="10" bestFit="1" customWidth="1"/>
    <col min="2" max="2" width="45.20703125" customWidth="1"/>
    <col min="3" max="3" width="10.62890625" bestFit="1" customWidth="1"/>
  </cols>
  <sheetData>
    <row r="1" spans="1:11" x14ac:dyDescent="0.55000000000000004">
      <c r="B1" s="2" t="s">
        <v>10</v>
      </c>
      <c r="C1" s="2"/>
      <c r="D1" s="2" t="s">
        <v>15</v>
      </c>
      <c r="F1" s="80" t="s">
        <v>26</v>
      </c>
      <c r="G1" s="80"/>
      <c r="H1" s="80"/>
      <c r="I1" s="80"/>
    </row>
    <row r="2" spans="1:11" ht="16.5" x14ac:dyDescent="0.55000000000000004">
      <c r="B2" s="5" t="s">
        <v>25</v>
      </c>
      <c r="C2" s="5" t="s">
        <v>48</v>
      </c>
      <c r="D2" s="5" t="str">
        <f>econ_param</f>
        <v>Baseline</v>
      </c>
      <c r="F2" t="s">
        <v>17</v>
      </c>
      <c r="G2" s="1" t="s">
        <v>23</v>
      </c>
      <c r="H2" s="1" t="s">
        <v>24</v>
      </c>
      <c r="I2" t="s">
        <v>22</v>
      </c>
      <c r="K2" t="s">
        <v>203</v>
      </c>
    </row>
    <row r="3" spans="1:11" ht="16.5" x14ac:dyDescent="0.55000000000000004">
      <c r="A3" s="10">
        <v>2</v>
      </c>
      <c r="B3" t="s">
        <v>13</v>
      </c>
      <c r="C3" t="s">
        <v>27</v>
      </c>
      <c r="D3">
        <f>HLOOKUP(econ_param, econ_param_scenarios, $A3, FALSE)</f>
        <v>8.2000000000000003E-2</v>
      </c>
      <c r="F3">
        <v>8.2000000000000003E-2</v>
      </c>
      <c r="G3">
        <v>8.2000000000000003E-2</v>
      </c>
      <c r="H3">
        <v>8.2000000000000003E-2</v>
      </c>
      <c r="I3">
        <v>0.06</v>
      </c>
    </row>
    <row r="4" spans="1:11" x14ac:dyDescent="0.55000000000000004">
      <c r="A4" s="10">
        <v>3</v>
      </c>
      <c r="B4" t="s">
        <v>12</v>
      </c>
      <c r="C4" t="s">
        <v>28</v>
      </c>
      <c r="D4">
        <f>HLOOKUP(econ_param, econ_param_scenarios, $A4, FALSE)</f>
        <v>2.3E-2</v>
      </c>
      <c r="F4" s="1">
        <v>2.3E-2</v>
      </c>
      <c r="G4" s="1">
        <v>2.3E-2</v>
      </c>
      <c r="H4" s="1">
        <v>2.3E-2</v>
      </c>
      <c r="I4" s="1">
        <v>2.3E-2</v>
      </c>
    </row>
    <row r="5" spans="1:11" x14ac:dyDescent="0.55000000000000004">
      <c r="A5" s="10">
        <v>4</v>
      </c>
      <c r="B5" t="s">
        <v>11</v>
      </c>
      <c r="C5" t="s">
        <v>29</v>
      </c>
      <c r="D5">
        <f>HLOOKUP(econ_param, econ_param_scenarios, $A5, FALSE)</f>
        <v>0.04</v>
      </c>
      <c r="F5">
        <v>0.04</v>
      </c>
      <c r="G5">
        <v>0.04</v>
      </c>
      <c r="H5">
        <v>0.04</v>
      </c>
      <c r="I5">
        <v>0.04</v>
      </c>
    </row>
    <row r="6" spans="1:11" x14ac:dyDescent="0.55000000000000004">
      <c r="A6" s="10">
        <v>5</v>
      </c>
      <c r="B6" t="s">
        <v>14</v>
      </c>
      <c r="C6" t="s">
        <v>30</v>
      </c>
      <c r="D6">
        <f>HLOOKUP(econ_param, econ_param_scenarios, $A6, FALSE)</f>
        <v>0.32</v>
      </c>
      <c r="F6">
        <v>0.32</v>
      </c>
      <c r="G6">
        <v>0.32</v>
      </c>
      <c r="H6">
        <v>0.32</v>
      </c>
      <c r="I6">
        <v>0.32</v>
      </c>
    </row>
    <row r="7" spans="1:11" x14ac:dyDescent="0.55000000000000004">
      <c r="A7" s="10">
        <v>6</v>
      </c>
      <c r="B7" t="s">
        <v>19</v>
      </c>
    </row>
    <row r="8" spans="1:11" x14ac:dyDescent="0.55000000000000004">
      <c r="A8" s="10">
        <v>7</v>
      </c>
      <c r="B8" s="3" t="s">
        <v>0</v>
      </c>
      <c r="C8" s="4" t="s">
        <v>20</v>
      </c>
      <c r="D8">
        <f t="shared" ref="D8:D13" si="0">HLOOKUP(econ_param, econ_param_scenarios, $A8, FALSE)</f>
        <v>8.7999999999999995E-2</v>
      </c>
      <c r="F8" s="8">
        <f>$K8</f>
        <v>8.7999999999999995E-2</v>
      </c>
      <c r="G8" s="8">
        <f t="shared" ref="G8:I12" si="1">$K8</f>
        <v>8.7999999999999995E-2</v>
      </c>
      <c r="H8" s="8">
        <f t="shared" si="1"/>
        <v>8.7999999999999995E-2</v>
      </c>
      <c r="I8" s="8">
        <f t="shared" si="1"/>
        <v>8.7999999999999995E-2</v>
      </c>
      <c r="K8">
        <f>ROUND(SUMPRODUCT(EconDeprecData!B$2:B$30,EconDeprecData!N$2:N$30)/SUMPRODUCT(EconDeprecData!B$2:B$30,EconDeprecData!B$2:B$30), 3)</f>
        <v>8.7999999999999995E-2</v>
      </c>
    </row>
    <row r="9" spans="1:11" x14ac:dyDescent="0.55000000000000004">
      <c r="A9" s="10">
        <v>8</v>
      </c>
      <c r="B9" s="3" t="s">
        <v>1</v>
      </c>
      <c r="C9" s="4" t="s">
        <v>21</v>
      </c>
      <c r="D9">
        <f t="shared" si="0"/>
        <v>0.02</v>
      </c>
      <c r="F9" s="8">
        <f t="shared" ref="F9:F12" si="2">$K9</f>
        <v>0.02</v>
      </c>
      <c r="G9" s="8">
        <f t="shared" si="1"/>
        <v>0.02</v>
      </c>
      <c r="H9" s="8">
        <f t="shared" si="1"/>
        <v>0.02</v>
      </c>
      <c r="I9" s="8">
        <f t="shared" si="1"/>
        <v>0.02</v>
      </c>
      <c r="K9" s="8">
        <f>ROUND(SUMPRODUCT(EconDeprecData!C$2:C$30,EconDeprecData!O$2:O$30)/SUMPRODUCT(EconDeprecData!C$2:C$30,EconDeprecData!C$2:C$30), 3)</f>
        <v>0.02</v>
      </c>
    </row>
    <row r="10" spans="1:11" x14ac:dyDescent="0.55000000000000004">
      <c r="A10" s="10">
        <v>9</v>
      </c>
      <c r="B10" s="3" t="s">
        <v>2</v>
      </c>
      <c r="C10" s="4" t="s">
        <v>34</v>
      </c>
      <c r="D10">
        <f t="shared" si="0"/>
        <v>2.7E-2</v>
      </c>
      <c r="F10" s="8">
        <f t="shared" si="2"/>
        <v>2.7E-2</v>
      </c>
      <c r="G10" s="8">
        <f t="shared" si="1"/>
        <v>2.7E-2</v>
      </c>
      <c r="H10" s="8">
        <f t="shared" si="1"/>
        <v>2.7E-2</v>
      </c>
      <c r="I10" s="8">
        <f t="shared" si="1"/>
        <v>2.7E-2</v>
      </c>
      <c r="K10" s="8">
        <f>ROUND(SUMPRODUCT(EconDeprecData!D$2:D$30,EconDeprecData!P$2:P$30)/SUMPRODUCT(EconDeprecData!D$2:D$30,EconDeprecData!D$2:D$30), 3)</f>
        <v>2.7E-2</v>
      </c>
    </row>
    <row r="11" spans="1:11" x14ac:dyDescent="0.55000000000000004">
      <c r="A11" s="10">
        <v>10</v>
      </c>
      <c r="B11" s="3" t="s">
        <v>3</v>
      </c>
      <c r="C11" s="4" t="s">
        <v>35</v>
      </c>
      <c r="D11">
        <f t="shared" si="0"/>
        <v>0.122</v>
      </c>
      <c r="F11" s="8">
        <f t="shared" si="2"/>
        <v>0.122</v>
      </c>
      <c r="G11" s="8">
        <f t="shared" si="1"/>
        <v>0.122</v>
      </c>
      <c r="H11" s="8">
        <f t="shared" si="1"/>
        <v>0.122</v>
      </c>
      <c r="I11" s="8">
        <f t="shared" si="1"/>
        <v>0.122</v>
      </c>
      <c r="K11" s="8">
        <f>ROUND(SUMPRODUCT(EconDeprecData!E$2:E$30,EconDeprecData!Q$2:Q$30)/SUMPRODUCT(EconDeprecData!E$2:E$30,EconDeprecData!E$2:E$30), 3)</f>
        <v>0.122</v>
      </c>
    </row>
    <row r="12" spans="1:11" x14ac:dyDescent="0.55000000000000004">
      <c r="A12" s="10">
        <v>11</v>
      </c>
      <c r="B12" s="3" t="s">
        <v>4</v>
      </c>
      <c r="C12" s="4" t="s">
        <v>36</v>
      </c>
      <c r="D12">
        <f t="shared" si="0"/>
        <v>0.19600000000000001</v>
      </c>
      <c r="F12" s="8">
        <f t="shared" si="2"/>
        <v>0.19600000000000001</v>
      </c>
      <c r="G12" s="8">
        <f t="shared" si="1"/>
        <v>0.19600000000000001</v>
      </c>
      <c r="H12" s="8">
        <f t="shared" si="1"/>
        <v>0.19600000000000001</v>
      </c>
      <c r="I12" s="8">
        <f t="shared" si="1"/>
        <v>0.19600000000000001</v>
      </c>
      <c r="K12" s="8">
        <f>ROUND(SUMPRODUCT(EconDeprecData!F$2:F$30,EconDeprecData!R$2:R$30)/SUMPRODUCT(EconDeprecData!F$2:F$30,EconDeprecData!F$2:F$30), 3)</f>
        <v>0.19600000000000001</v>
      </c>
    </row>
    <row r="13" spans="1:11" x14ac:dyDescent="0.55000000000000004">
      <c r="A13" s="10">
        <v>12</v>
      </c>
      <c r="B13" s="4" t="s">
        <v>16</v>
      </c>
      <c r="C13" s="4" t="s">
        <v>37</v>
      </c>
      <c r="D13">
        <f t="shared" si="0"/>
        <v>0.38</v>
      </c>
      <c r="F13" s="8">
        <v>0.38</v>
      </c>
      <c r="G13" s="8">
        <f>1/3</f>
        <v>0.33333333333333331</v>
      </c>
      <c r="H13" s="8">
        <v>0.4</v>
      </c>
      <c r="I13" s="8">
        <v>0.38</v>
      </c>
      <c r="K13" s="8"/>
    </row>
    <row r="14" spans="1:11" ht="16.8" x14ac:dyDescent="0.75">
      <c r="A14" s="10">
        <v>13</v>
      </c>
      <c r="B14" s="4" t="s">
        <v>18</v>
      </c>
      <c r="C14" s="4"/>
    </row>
    <row r="15" spans="1:11" x14ac:dyDescent="0.55000000000000004">
      <c r="A15" s="10">
        <v>14</v>
      </c>
      <c r="B15" s="3" t="s">
        <v>0</v>
      </c>
      <c r="C15" s="4" t="s">
        <v>38</v>
      </c>
      <c r="D15" s="8">
        <f>HLOOKUP(econ_param, econ_param_scenarios, $A15, FALSE)</f>
        <v>0.13832</v>
      </c>
      <c r="F15" s="8">
        <f t="shared" ref="F15:I19" si="3">F$13*$K15</f>
        <v>0.13832</v>
      </c>
      <c r="G15" s="8">
        <f t="shared" si="3"/>
        <v>0.12133333333333332</v>
      </c>
      <c r="H15" s="8">
        <f t="shared" si="3"/>
        <v>0.14560000000000001</v>
      </c>
      <c r="I15" s="8">
        <f t="shared" si="3"/>
        <v>0.13832</v>
      </c>
      <c r="K15">
        <f>Alpha!C35</f>
        <v>0.36399999999999999</v>
      </c>
    </row>
    <row r="16" spans="1:11" x14ac:dyDescent="0.55000000000000004">
      <c r="A16" s="10">
        <v>15</v>
      </c>
      <c r="B16" s="3" t="s">
        <v>1</v>
      </c>
      <c r="C16" s="4" t="s">
        <v>39</v>
      </c>
      <c r="D16" s="8">
        <f>HLOOKUP(econ_param, econ_param_scenarios, $A16, FALSE)</f>
        <v>0.12274</v>
      </c>
      <c r="F16" s="8">
        <f t="shared" si="3"/>
        <v>0.12274</v>
      </c>
      <c r="G16" s="8">
        <f t="shared" si="3"/>
        <v>0.10766666666666666</v>
      </c>
      <c r="H16" s="8">
        <f t="shared" si="3"/>
        <v>0.12920000000000001</v>
      </c>
      <c r="I16" s="8">
        <f t="shared" si="3"/>
        <v>0.12274</v>
      </c>
      <c r="K16">
        <f>Alpha!C36</f>
        <v>0.32300000000000001</v>
      </c>
    </row>
    <row r="17" spans="1:11" x14ac:dyDescent="0.55000000000000004">
      <c r="A17" s="10">
        <v>16</v>
      </c>
      <c r="B17" s="3" t="s">
        <v>2</v>
      </c>
      <c r="C17" s="4" t="s">
        <v>40</v>
      </c>
      <c r="D17" s="8">
        <f>HLOOKUP(econ_param, econ_param_scenarios, $A17, FALSE)</f>
        <v>7.2199999999999999E-3</v>
      </c>
      <c r="F17" s="8">
        <f t="shared" si="3"/>
        <v>7.2199999999999999E-3</v>
      </c>
      <c r="G17" s="8">
        <f t="shared" si="3"/>
        <v>6.3333333333333332E-3</v>
      </c>
      <c r="H17" s="8">
        <f t="shared" si="3"/>
        <v>7.6E-3</v>
      </c>
      <c r="I17" s="8">
        <f t="shared" si="3"/>
        <v>7.2199999999999999E-3</v>
      </c>
      <c r="K17">
        <f>Alpha!C37</f>
        <v>1.9E-2</v>
      </c>
    </row>
    <row r="18" spans="1:11" x14ac:dyDescent="0.55000000000000004">
      <c r="A18" s="10">
        <v>17</v>
      </c>
      <c r="B18" s="3" t="s">
        <v>3</v>
      </c>
      <c r="C18" s="4" t="s">
        <v>41</v>
      </c>
      <c r="D18" s="8">
        <f>HLOOKUP(econ_param, econ_param_scenarios, $A18, FALSE)</f>
        <v>4.5219999999999996E-2</v>
      </c>
      <c r="F18" s="8">
        <f t="shared" si="3"/>
        <v>4.5219999999999996E-2</v>
      </c>
      <c r="G18" s="8">
        <f t="shared" si="3"/>
        <v>3.9666666666666663E-2</v>
      </c>
      <c r="H18" s="8">
        <f t="shared" si="3"/>
        <v>4.7600000000000003E-2</v>
      </c>
      <c r="I18" s="8">
        <f t="shared" si="3"/>
        <v>4.5219999999999996E-2</v>
      </c>
      <c r="K18">
        <f>Alpha!C38</f>
        <v>0.11899999999999999</v>
      </c>
    </row>
    <row r="19" spans="1:11" x14ac:dyDescent="0.55000000000000004">
      <c r="A19" s="10">
        <v>18</v>
      </c>
      <c r="B19" s="3" t="s">
        <v>4</v>
      </c>
      <c r="C19" s="4" t="s">
        <v>42</v>
      </c>
      <c r="D19" s="8">
        <f>HLOOKUP(econ_param, econ_param_scenarios, $A19, FALSE)</f>
        <v>6.649999999999999E-2</v>
      </c>
      <c r="F19" s="8">
        <f t="shared" si="3"/>
        <v>6.649999999999999E-2</v>
      </c>
      <c r="G19" s="8">
        <f t="shared" si="3"/>
        <v>5.8333333333333327E-2</v>
      </c>
      <c r="H19" s="8">
        <f t="shared" si="3"/>
        <v>6.9999999999999993E-2</v>
      </c>
      <c r="I19" s="8">
        <f t="shared" si="3"/>
        <v>6.649999999999999E-2</v>
      </c>
      <c r="K19">
        <f>Alpha!C39</f>
        <v>0.17499999999999999</v>
      </c>
    </row>
    <row r="20" spans="1:11" ht="16.8" x14ac:dyDescent="0.75">
      <c r="A20" s="10">
        <v>19</v>
      </c>
      <c r="B20" s="4" t="s">
        <v>18</v>
      </c>
      <c r="C20" s="4"/>
      <c r="D20" s="8"/>
    </row>
    <row r="21" spans="1:11" x14ac:dyDescent="0.55000000000000004">
      <c r="A21" s="10">
        <v>20</v>
      </c>
      <c r="B21" s="3" t="s">
        <v>0</v>
      </c>
      <c r="C21" s="4" t="s">
        <v>43</v>
      </c>
      <c r="D21" s="8">
        <f>HLOOKUP(econ_param, econ_param_scenarios, $A21, FALSE)</f>
        <v>0.12236000000000001</v>
      </c>
      <c r="F21" s="8">
        <f t="shared" ref="F21:I25" si="4">F$13*$K21</f>
        <v>0.12236000000000001</v>
      </c>
      <c r="G21" s="8">
        <f t="shared" si="4"/>
        <v>0.10733333333333334</v>
      </c>
      <c r="H21" s="8">
        <f t="shared" si="4"/>
        <v>0.1288</v>
      </c>
      <c r="I21" s="8">
        <f t="shared" si="4"/>
        <v>0.12236000000000001</v>
      </c>
      <c r="K21">
        <f>Alpha!D35</f>
        <v>0.32200000000000001</v>
      </c>
    </row>
    <row r="22" spans="1:11" x14ac:dyDescent="0.55000000000000004">
      <c r="A22" s="10">
        <v>21</v>
      </c>
      <c r="B22" s="3" t="s">
        <v>1</v>
      </c>
      <c r="C22" s="4" t="s">
        <v>44</v>
      </c>
      <c r="D22" s="8">
        <f>HLOOKUP(econ_param, econ_param_scenarios, $A22, FALSE)</f>
        <v>0.13109999999999999</v>
      </c>
      <c r="F22" s="8">
        <f t="shared" si="4"/>
        <v>0.13109999999999999</v>
      </c>
      <c r="G22" s="8">
        <f t="shared" si="4"/>
        <v>0.11499999999999999</v>
      </c>
      <c r="H22" s="8">
        <f t="shared" si="4"/>
        <v>0.13799999999999998</v>
      </c>
      <c r="I22" s="8">
        <f t="shared" si="4"/>
        <v>0.13109999999999999</v>
      </c>
      <c r="K22">
        <f>Alpha!D36</f>
        <v>0.34499999999999997</v>
      </c>
    </row>
    <row r="23" spans="1:11" x14ac:dyDescent="0.55000000000000004">
      <c r="A23" s="10">
        <v>22</v>
      </c>
      <c r="B23" s="3" t="s">
        <v>2</v>
      </c>
      <c r="C23" s="4" t="s">
        <v>45</v>
      </c>
      <c r="D23" s="8">
        <f>HLOOKUP(econ_param, econ_param_scenarios, $A23, FALSE)</f>
        <v>6.8779999999999994E-2</v>
      </c>
      <c r="F23" s="8">
        <f t="shared" si="4"/>
        <v>6.8779999999999994E-2</v>
      </c>
      <c r="G23" s="8">
        <f t="shared" si="4"/>
        <v>6.0333333333333329E-2</v>
      </c>
      <c r="H23" s="8">
        <f t="shared" si="4"/>
        <v>7.2400000000000006E-2</v>
      </c>
      <c r="I23" s="8">
        <f t="shared" si="4"/>
        <v>6.8779999999999994E-2</v>
      </c>
      <c r="K23">
        <f>Alpha!D37</f>
        <v>0.18099999999999999</v>
      </c>
    </row>
    <row r="24" spans="1:11" x14ac:dyDescent="0.55000000000000004">
      <c r="A24" s="10">
        <v>23</v>
      </c>
      <c r="B24" s="3" t="s">
        <v>3</v>
      </c>
      <c r="C24" s="4" t="s">
        <v>46</v>
      </c>
      <c r="D24" s="8">
        <f>HLOOKUP(econ_param, econ_param_scenarios, $A24, FALSE)</f>
        <v>2.3179999999999999E-2</v>
      </c>
      <c r="F24" s="8">
        <f t="shared" si="4"/>
        <v>2.3179999999999999E-2</v>
      </c>
      <c r="G24" s="8">
        <f t="shared" si="4"/>
        <v>2.0333333333333332E-2</v>
      </c>
      <c r="H24" s="8">
        <f t="shared" si="4"/>
        <v>2.4400000000000002E-2</v>
      </c>
      <c r="I24" s="8">
        <f t="shared" si="4"/>
        <v>2.3179999999999999E-2</v>
      </c>
      <c r="K24">
        <f>Alpha!D38</f>
        <v>6.0999999999999999E-2</v>
      </c>
    </row>
    <row r="25" spans="1:11" x14ac:dyDescent="0.55000000000000004">
      <c r="A25" s="10">
        <v>24</v>
      </c>
      <c r="B25" s="3" t="s">
        <v>4</v>
      </c>
      <c r="C25" s="4" t="s">
        <v>47</v>
      </c>
      <c r="D25" s="8">
        <f>HLOOKUP(econ_param, econ_param_scenarios, $A25, FALSE)</f>
        <v>3.4200000000000001E-2</v>
      </c>
      <c r="F25" s="8">
        <f t="shared" si="4"/>
        <v>3.4200000000000001E-2</v>
      </c>
      <c r="G25" s="8">
        <f t="shared" si="4"/>
        <v>0.03</v>
      </c>
      <c r="H25" s="8">
        <f t="shared" si="4"/>
        <v>3.5999999999999997E-2</v>
      </c>
      <c r="I25" s="8">
        <f t="shared" si="4"/>
        <v>3.4200000000000001E-2</v>
      </c>
      <c r="K25">
        <f>Alpha!D39</f>
        <v>0.09</v>
      </c>
    </row>
    <row r="26" spans="1:11" x14ac:dyDescent="0.55000000000000004">
      <c r="A26" s="10">
        <v>25</v>
      </c>
      <c r="B26" t="s">
        <v>6</v>
      </c>
    </row>
    <row r="27" spans="1:11" x14ac:dyDescent="0.55000000000000004">
      <c r="A27" s="10">
        <v>26</v>
      </c>
      <c r="B27" s="3" t="s">
        <v>7</v>
      </c>
      <c r="C27" s="4" t="s">
        <v>31</v>
      </c>
      <c r="D27">
        <f>HLOOKUP(econ_param, econ_param_scenarios, $A27, FALSE)</f>
        <v>0.39</v>
      </c>
      <c r="F27">
        <v>0.39</v>
      </c>
      <c r="G27">
        <v>0.39</v>
      </c>
      <c r="H27">
        <v>0.39</v>
      </c>
      <c r="I27">
        <v>0.39</v>
      </c>
    </row>
    <row r="28" spans="1:11" x14ac:dyDescent="0.55000000000000004">
      <c r="A28" s="10">
        <v>27</v>
      </c>
      <c r="B28" s="3" t="s">
        <v>8</v>
      </c>
      <c r="C28" s="4" t="s">
        <v>32</v>
      </c>
      <c r="D28">
        <f>HLOOKUP(econ_param, econ_param_scenarios, $A28, FALSE)</f>
        <v>0.36</v>
      </c>
      <c r="F28">
        <v>0.36</v>
      </c>
      <c r="G28">
        <v>0.36</v>
      </c>
      <c r="H28">
        <v>0.36</v>
      </c>
      <c r="I28">
        <v>0.36</v>
      </c>
    </row>
    <row r="29" spans="1:11" x14ac:dyDescent="0.55000000000000004">
      <c r="A29" s="10">
        <v>28</v>
      </c>
      <c r="B29" s="3" t="s">
        <v>9</v>
      </c>
      <c r="C29" s="4" t="s">
        <v>33</v>
      </c>
      <c r="D29">
        <f>HLOOKUP(econ_param, econ_param_scenarios, $A29, FALSE)</f>
        <v>0.25</v>
      </c>
      <c r="F29">
        <v>0.25</v>
      </c>
      <c r="G29">
        <v>0.25</v>
      </c>
      <c r="H29">
        <v>0.25</v>
      </c>
      <c r="I29">
        <v>0.25</v>
      </c>
    </row>
  </sheetData>
  <mergeCells count="1">
    <mergeCell ref="F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I22" sqref="I22:M31"/>
    </sheetView>
  </sheetViews>
  <sheetFormatPr defaultRowHeight="14.4" x14ac:dyDescent="0.55000000000000004"/>
  <cols>
    <col min="1" max="1" width="2.15625" bestFit="1" customWidth="1"/>
    <col min="2" max="2" width="40.89453125" bestFit="1" customWidth="1"/>
    <col min="3" max="3" width="11.41796875" bestFit="1" customWidth="1"/>
    <col min="4" max="4" width="11.41796875" customWidth="1"/>
    <col min="6" max="6" width="12" customWidth="1"/>
    <col min="8" max="8" width="7.15625" bestFit="1" customWidth="1"/>
    <col min="9" max="9" width="6.734375" bestFit="1" customWidth="1"/>
    <col min="10" max="10" width="9.41796875" bestFit="1" customWidth="1"/>
    <col min="11" max="11" width="10.578125" bestFit="1" customWidth="1"/>
    <col min="12" max="12" width="8.47265625" bestFit="1" customWidth="1"/>
    <col min="13" max="13" width="10.9453125" bestFit="1" customWidth="1"/>
  </cols>
  <sheetData>
    <row r="1" spans="1:15" x14ac:dyDescent="0.55000000000000004">
      <c r="A1" s="10"/>
      <c r="B1" s="2" t="s">
        <v>10</v>
      </c>
      <c r="C1" s="2"/>
      <c r="D1" s="2"/>
      <c r="E1" s="80" t="s">
        <v>15</v>
      </c>
      <c r="F1" s="80"/>
      <c r="H1" s="80" t="s">
        <v>26</v>
      </c>
      <c r="I1" s="80"/>
      <c r="J1" s="80"/>
      <c r="K1" s="80"/>
      <c r="L1" s="80"/>
      <c r="M1" s="80"/>
    </row>
    <row r="2" spans="1:15" ht="43.2" x14ac:dyDescent="0.55000000000000004">
      <c r="A2" s="10"/>
      <c r="B2" s="5" t="s">
        <v>25</v>
      </c>
      <c r="C2" s="5" t="s">
        <v>77</v>
      </c>
      <c r="D2" s="17" t="s">
        <v>236</v>
      </c>
      <c r="E2" s="5" t="str">
        <f>policy_param_0</f>
        <v>Baseline</v>
      </c>
      <c r="F2" s="17" t="str">
        <f>policy_param_1</f>
        <v>Law as Written</v>
      </c>
      <c r="H2" s="11" t="s">
        <v>17</v>
      </c>
      <c r="I2" s="12" t="s">
        <v>59</v>
      </c>
      <c r="J2" s="12" t="s">
        <v>60</v>
      </c>
      <c r="K2" s="12" t="s">
        <v>61</v>
      </c>
      <c r="L2" s="12" t="s">
        <v>62</v>
      </c>
      <c r="M2" s="12" t="s">
        <v>63</v>
      </c>
    </row>
    <row r="3" spans="1:15" ht="16.8" x14ac:dyDescent="0.75">
      <c r="A3" s="10">
        <v>2</v>
      </c>
      <c r="B3" t="s">
        <v>49</v>
      </c>
      <c r="C3" t="s">
        <v>56</v>
      </c>
      <c r="D3" s="9">
        <f>HLOOKUP("Baseline", policy_param_scenarios, $A3, FALSE)</f>
        <v>0.38</v>
      </c>
      <c r="E3" s="9">
        <f>HLOOKUP(policy_param_0, policy_param_scenarios, $A3, FALSE)</f>
        <v>0.38</v>
      </c>
      <c r="F3" s="9">
        <f>HLOOKUP(policy_param_1, policy_param_scenarios, $A3, FALSE)</f>
        <v>0.27</v>
      </c>
      <c r="H3">
        <v>0.38</v>
      </c>
      <c r="I3">
        <v>0.27</v>
      </c>
      <c r="J3">
        <v>0.26</v>
      </c>
      <c r="K3">
        <v>0.38</v>
      </c>
      <c r="L3">
        <v>0.32</v>
      </c>
      <c r="M3">
        <v>0.27</v>
      </c>
    </row>
    <row r="4" spans="1:15" x14ac:dyDescent="0.55000000000000004">
      <c r="A4" s="10">
        <v>3</v>
      </c>
      <c r="B4" t="s">
        <v>50</v>
      </c>
      <c r="C4" t="s">
        <v>55</v>
      </c>
      <c r="D4" s="8">
        <f>HLOOKUP("Baseline", policy_param_scenarios, $A4, FALSE)</f>
        <v>0.05</v>
      </c>
      <c r="E4" s="8">
        <f>HLOOKUP(policy_param_0, policy_param_scenarios, $A4, FALSE)</f>
        <v>0.05</v>
      </c>
      <c r="F4" s="8">
        <f>HLOOKUP(policy_param_1, policy_param_scenarios, $A4, FALSE)</f>
        <v>6.4000000000000001E-2</v>
      </c>
      <c r="H4" s="13">
        <v>0.05</v>
      </c>
      <c r="I4" s="13">
        <v>6.4000000000000001E-2</v>
      </c>
      <c r="J4" s="13">
        <v>6.0999999999999999E-2</v>
      </c>
      <c r="K4" s="13">
        <v>0.05</v>
      </c>
      <c r="L4" s="13">
        <v>0.05</v>
      </c>
      <c r="M4" s="13">
        <v>6.4000000000000001E-2</v>
      </c>
    </row>
    <row r="5" spans="1:15" ht="16.8" x14ac:dyDescent="0.75">
      <c r="A5" s="10">
        <v>4</v>
      </c>
      <c r="B5" t="s">
        <v>51</v>
      </c>
      <c r="C5" t="s">
        <v>54</v>
      </c>
      <c r="D5" s="8">
        <f>HLOOKUP("Baseline", policy_param_scenarios, $A5, FALSE)</f>
        <v>0.35199999999999998</v>
      </c>
      <c r="E5" s="8">
        <f>HLOOKUP(policy_param_0, policy_param_scenarios, $A5, FALSE)</f>
        <v>0.35199999999999998</v>
      </c>
      <c r="F5" s="8">
        <f>HLOOKUP(policy_param_1, policy_param_scenarios, $A5, FALSE)</f>
        <v>0.35499999999999998</v>
      </c>
      <c r="H5">
        <v>0.35199999999999998</v>
      </c>
      <c r="I5">
        <v>0.35499999999999998</v>
      </c>
      <c r="J5">
        <v>0.311</v>
      </c>
      <c r="K5">
        <v>0.35199999999999998</v>
      </c>
      <c r="L5">
        <v>0.35199999999999998</v>
      </c>
      <c r="M5">
        <v>0.311</v>
      </c>
    </row>
    <row r="6" spans="1:15" x14ac:dyDescent="0.55000000000000004">
      <c r="A6" s="10">
        <v>5</v>
      </c>
      <c r="B6" t="s">
        <v>52</v>
      </c>
      <c r="C6" t="s">
        <v>53</v>
      </c>
      <c r="D6" s="9">
        <f>HLOOKUP("Baseline", policy_param_scenarios, $A6, FALSE)</f>
        <v>0</v>
      </c>
      <c r="E6" s="9">
        <f>HLOOKUP(policy_param_0, policy_param_scenarios, $A6, FALSE)</f>
        <v>0</v>
      </c>
      <c r="F6" s="9">
        <f>HLOOKUP(policy_param_1, policy_param_scenarios, $A6, FALSE)</f>
        <v>0.15</v>
      </c>
      <c r="H6" s="9">
        <v>0</v>
      </c>
      <c r="I6" s="9">
        <v>0.15</v>
      </c>
      <c r="J6" s="9">
        <v>0.05</v>
      </c>
      <c r="K6" s="9">
        <v>0</v>
      </c>
      <c r="L6" s="9">
        <v>1</v>
      </c>
      <c r="M6" s="9">
        <v>0.15</v>
      </c>
    </row>
    <row r="7" spans="1:15" x14ac:dyDescent="0.55000000000000004">
      <c r="A7" s="10">
        <v>6</v>
      </c>
      <c r="B7" s="4" t="s">
        <v>79</v>
      </c>
      <c r="C7" s="4" t="s">
        <v>80</v>
      </c>
      <c r="D7" s="8">
        <f>HLOOKUP("Baseline", policy_param_scenarios, $A7, FALSE)</f>
        <v>0</v>
      </c>
      <c r="E7" s="8">
        <f>HLOOKUP(policy_param_0, policy_param_scenarios, $A7, FALSE)</f>
        <v>0</v>
      </c>
      <c r="F7" s="8">
        <f>HLOOKUP(policy_param_1, policy_param_scenarios, $A7, FALSE)</f>
        <v>6.8000000000000005E-2</v>
      </c>
      <c r="H7" s="8">
        <f t="shared" ref="H7:M7" si="0">ROUND(0.6*(($H3-H3)-($H5-H5)), 3)</f>
        <v>0</v>
      </c>
      <c r="I7" s="8">
        <f t="shared" si="0"/>
        <v>6.8000000000000005E-2</v>
      </c>
      <c r="J7" s="8">
        <f t="shared" si="0"/>
        <v>4.7E-2</v>
      </c>
      <c r="K7" s="8">
        <f t="shared" si="0"/>
        <v>0</v>
      </c>
      <c r="L7" s="8">
        <f t="shared" si="0"/>
        <v>3.5999999999999997E-2</v>
      </c>
      <c r="M7" s="8">
        <f t="shared" si="0"/>
        <v>4.1000000000000002E-2</v>
      </c>
      <c r="O7" s="8"/>
    </row>
    <row r="8" spans="1:15" x14ac:dyDescent="0.55000000000000004">
      <c r="A8" s="10">
        <v>7</v>
      </c>
      <c r="B8" t="s">
        <v>57</v>
      </c>
    </row>
    <row r="9" spans="1:15" x14ac:dyDescent="0.55000000000000004">
      <c r="A9" s="10">
        <v>8</v>
      </c>
      <c r="B9" s="3" t="s">
        <v>0</v>
      </c>
      <c r="C9" s="4" t="s">
        <v>64</v>
      </c>
      <c r="D9" s="18" t="str">
        <f>HLOOKUP("Baseline", policy_param_scenarios, $A9, FALSE)</f>
        <v>DDB</v>
      </c>
      <c r="E9" s="18" t="str">
        <f>HLOOKUP(policy_param_0, policy_param_scenarios, $A9, FALSE)</f>
        <v>DDB</v>
      </c>
      <c r="F9" s="18" t="str">
        <f>HLOOKUP(policy_param_1, policy_param_scenarios, $A9, FALSE)</f>
        <v>DDB</v>
      </c>
      <c r="H9" s="16" t="s">
        <v>74</v>
      </c>
      <c r="I9" s="16" t="s">
        <v>74</v>
      </c>
      <c r="J9" s="16" t="s">
        <v>75</v>
      </c>
      <c r="K9" s="16" t="s">
        <v>74</v>
      </c>
      <c r="L9" s="16" t="s">
        <v>75</v>
      </c>
      <c r="M9" s="16" t="s">
        <v>74</v>
      </c>
    </row>
    <row r="10" spans="1:15" x14ac:dyDescent="0.55000000000000004">
      <c r="A10" s="10">
        <v>9</v>
      </c>
      <c r="B10" s="3" t="s">
        <v>1</v>
      </c>
      <c r="C10" s="4" t="s">
        <v>65</v>
      </c>
      <c r="D10" s="18" t="str">
        <f>HLOOKUP("Baseline", policy_param_scenarios, $A10, FALSE)</f>
        <v>SL</v>
      </c>
      <c r="E10" s="18" t="str">
        <f>HLOOKUP(policy_param_0, policy_param_scenarios, $A10, FALSE)</f>
        <v>SL</v>
      </c>
      <c r="F10" s="18" t="str">
        <f>HLOOKUP(policy_param_1, policy_param_scenarios, $A10, FALSE)</f>
        <v>SL</v>
      </c>
      <c r="H10" s="16" t="s">
        <v>76</v>
      </c>
      <c r="I10" s="16" t="s">
        <v>76</v>
      </c>
      <c r="J10" s="16" t="s">
        <v>76</v>
      </c>
      <c r="K10" s="16" t="s">
        <v>76</v>
      </c>
      <c r="L10" s="16" t="s">
        <v>75</v>
      </c>
      <c r="M10" s="16" t="s">
        <v>76</v>
      </c>
    </row>
    <row r="11" spans="1:15" x14ac:dyDescent="0.55000000000000004">
      <c r="A11" s="10">
        <v>10</v>
      </c>
      <c r="B11" s="3" t="s">
        <v>2</v>
      </c>
      <c r="C11" s="4" t="s">
        <v>66</v>
      </c>
      <c r="D11" s="18" t="str">
        <f>HLOOKUP("Baseline", policy_param_scenarios, $A11, FALSE)</f>
        <v>SL</v>
      </c>
      <c r="E11" s="18" t="str">
        <f>HLOOKUP(policy_param_0, policy_param_scenarios, $A11, FALSE)</f>
        <v>SL</v>
      </c>
      <c r="F11" s="18" t="str">
        <f>HLOOKUP(policy_param_1, policy_param_scenarios, $A11, FALSE)</f>
        <v>SL</v>
      </c>
      <c r="H11" s="16" t="s">
        <v>76</v>
      </c>
      <c r="I11" s="16" t="s">
        <v>76</v>
      </c>
      <c r="J11" s="16" t="s">
        <v>76</v>
      </c>
      <c r="K11" s="16" t="s">
        <v>76</v>
      </c>
      <c r="L11" s="16" t="s">
        <v>75</v>
      </c>
      <c r="M11" s="16" t="s">
        <v>76</v>
      </c>
    </row>
    <row r="12" spans="1:15" x14ac:dyDescent="0.55000000000000004">
      <c r="A12" s="10">
        <v>11</v>
      </c>
      <c r="B12" s="3" t="s">
        <v>3</v>
      </c>
      <c r="C12" s="4" t="s">
        <v>67</v>
      </c>
      <c r="D12" s="18" t="str">
        <f>HLOOKUP("Baseline", policy_param_scenarios, $A12, FALSE)</f>
        <v>EXP</v>
      </c>
      <c r="E12" s="18" t="str">
        <f>HLOOKUP(policy_param_0, policy_param_scenarios, $A12, FALSE)</f>
        <v>EXP</v>
      </c>
      <c r="F12" s="18" t="str">
        <f>HLOOKUP(policy_param_1, policy_param_scenarios, $A12, FALSE)</f>
        <v>SL</v>
      </c>
      <c r="H12" s="16" t="s">
        <v>75</v>
      </c>
      <c r="I12" s="16" t="s">
        <v>76</v>
      </c>
      <c r="J12" s="16" t="s">
        <v>75</v>
      </c>
      <c r="K12" s="16" t="s">
        <v>75</v>
      </c>
      <c r="L12" s="16" t="s">
        <v>75</v>
      </c>
      <c r="M12" s="16" t="s">
        <v>76</v>
      </c>
    </row>
    <row r="13" spans="1:15" x14ac:dyDescent="0.55000000000000004">
      <c r="A13" s="10">
        <v>12</v>
      </c>
      <c r="B13" s="3" t="s">
        <v>4</v>
      </c>
      <c r="C13" s="4" t="s">
        <v>68</v>
      </c>
      <c r="D13" s="18" t="str">
        <f>HLOOKUP("Baseline", policy_param_scenarios, $A13, FALSE)</f>
        <v>DDB</v>
      </c>
      <c r="E13" s="18" t="str">
        <f>HLOOKUP(policy_param_0, policy_param_scenarios, $A13, FALSE)</f>
        <v>DDB</v>
      </c>
      <c r="F13" s="18" t="str">
        <f>HLOOKUP(policy_param_1, policy_param_scenarios, $A13, FALSE)</f>
        <v>DDB</v>
      </c>
      <c r="H13" s="16" t="s">
        <v>74</v>
      </c>
      <c r="I13" s="16" t="s">
        <v>74</v>
      </c>
      <c r="J13" s="16" t="s">
        <v>74</v>
      </c>
      <c r="K13" s="16" t="s">
        <v>74</v>
      </c>
      <c r="L13" s="16" t="s">
        <v>75</v>
      </c>
      <c r="M13" s="16" t="s">
        <v>74</v>
      </c>
    </row>
    <row r="14" spans="1:15" x14ac:dyDescent="0.55000000000000004">
      <c r="A14" s="10">
        <v>13</v>
      </c>
      <c r="B14" s="4" t="s">
        <v>58</v>
      </c>
      <c r="C14" s="4"/>
    </row>
    <row r="15" spans="1:15" x14ac:dyDescent="0.55000000000000004">
      <c r="A15" s="10">
        <v>14</v>
      </c>
      <c r="B15" s="3" t="s">
        <v>0</v>
      </c>
      <c r="C15" s="4" t="s">
        <v>69</v>
      </c>
      <c r="D15" s="15">
        <f>HLOOKUP("Baseline", policy_param_scenarios, $A15, FALSE)</f>
        <v>0</v>
      </c>
      <c r="E15" s="15">
        <f>HLOOKUP(policy_param_0, policy_param_scenarios, $A15, FALSE)</f>
        <v>0</v>
      </c>
      <c r="F15" s="15">
        <f>HLOOKUP(policy_param_1, policy_param_scenarios, $A15, FALSE)</f>
        <v>0</v>
      </c>
      <c r="H15" s="15">
        <v>0</v>
      </c>
      <c r="I15" s="15">
        <v>0</v>
      </c>
      <c r="J15" s="15">
        <v>0</v>
      </c>
      <c r="K15" s="15">
        <v>0.5</v>
      </c>
      <c r="L15" s="15">
        <v>0</v>
      </c>
      <c r="M15" s="15">
        <v>0</v>
      </c>
    </row>
    <row r="16" spans="1:15" x14ac:dyDescent="0.55000000000000004">
      <c r="A16" s="10">
        <v>15</v>
      </c>
      <c r="B16" s="3" t="s">
        <v>1</v>
      </c>
      <c r="C16" s="4" t="s">
        <v>70</v>
      </c>
      <c r="D16" s="15">
        <f>HLOOKUP("Baseline", policy_param_scenarios, $A16, FALSE)</f>
        <v>0</v>
      </c>
      <c r="E16" s="15">
        <f>HLOOKUP(policy_param_0, policy_param_scenarios, $A16, FALSE)</f>
        <v>0</v>
      </c>
      <c r="F16" s="15">
        <f>HLOOKUP(policy_param_1, policy_param_scenarios, $A16, FALSE)</f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1:13" x14ac:dyDescent="0.55000000000000004">
      <c r="A17" s="10">
        <v>16</v>
      </c>
      <c r="B17" s="3" t="s">
        <v>2</v>
      </c>
      <c r="C17" s="4" t="s">
        <v>71</v>
      </c>
      <c r="D17" s="15">
        <f>HLOOKUP("Baseline", policy_param_scenarios, $A17, FALSE)</f>
        <v>0</v>
      </c>
      <c r="E17" s="15">
        <f>HLOOKUP(policy_param_0, policy_param_scenarios, $A17, FALSE)</f>
        <v>0</v>
      </c>
      <c r="F17" s="15">
        <f>HLOOKUP(policy_param_1, policy_param_scenarios, $A17, FALSE)</f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1:13" x14ac:dyDescent="0.55000000000000004">
      <c r="A18" s="10">
        <v>17</v>
      </c>
      <c r="B18" s="3" t="s">
        <v>3</v>
      </c>
      <c r="C18" s="4" t="s">
        <v>72</v>
      </c>
      <c r="D18" s="15">
        <f>HLOOKUP("Baseline", policy_param_scenarios, $A18, FALSE)</f>
        <v>0</v>
      </c>
      <c r="E18" s="15">
        <f>HLOOKUP(policy_param_0, policy_param_scenarios, $A18, FALSE)</f>
        <v>0</v>
      </c>
      <c r="F18" s="15">
        <f>HLOOKUP(policy_param_1, policy_param_scenarios, $A18, FALSE)</f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1:13" x14ac:dyDescent="0.55000000000000004">
      <c r="A19" s="10">
        <v>18</v>
      </c>
      <c r="B19" s="3" t="s">
        <v>4</v>
      </c>
      <c r="C19" s="4" t="s">
        <v>73</v>
      </c>
      <c r="D19" s="15">
        <f>HLOOKUP("Baseline", policy_param_scenarios, $A19, FALSE)</f>
        <v>0</v>
      </c>
      <c r="E19" s="15">
        <f>HLOOKUP(policy_param_0, policy_param_scenarios, $A19, FALSE)</f>
        <v>0</v>
      </c>
      <c r="F19" s="15">
        <f>HLOOKUP(policy_param_1, policy_param_scenarios, $A19, FALSE)</f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3" x14ac:dyDescent="0.55000000000000004">
      <c r="A20" s="10">
        <v>19</v>
      </c>
    </row>
    <row r="21" spans="1:13" x14ac:dyDescent="0.55000000000000004">
      <c r="A21" s="10">
        <v>20</v>
      </c>
      <c r="B21" s="4" t="s">
        <v>128</v>
      </c>
    </row>
    <row r="22" spans="1:13" x14ac:dyDescent="0.55000000000000004">
      <c r="A22" s="10">
        <v>21</v>
      </c>
      <c r="B22" s="3">
        <v>2018</v>
      </c>
      <c r="D22" s="15">
        <f t="shared" ref="D22:D31" si="1">HLOOKUP("Baseline", policy_param_scenarios, $A22, FALSE)</f>
        <v>0</v>
      </c>
      <c r="E22" s="15">
        <f t="shared" ref="E22:E31" si="2">HLOOKUP(policy_param_0, policy_param_scenarios, $A22, FALSE)</f>
        <v>0</v>
      </c>
      <c r="F22" s="15">
        <f t="shared" ref="F22:F31" si="3">HLOOKUP(policy_param_1, policy_param_scenarios, $A22, FALSE)</f>
        <v>-135.69999999999999</v>
      </c>
      <c r="H22" s="60">
        <v>0</v>
      </c>
      <c r="I22" s="15">
        <v>-135.69999999999999</v>
      </c>
      <c r="J22" s="15">
        <v>-135.69999999999999</v>
      </c>
      <c r="K22" s="15">
        <v>-8</v>
      </c>
      <c r="L22" s="15">
        <v>-85.7</v>
      </c>
      <c r="M22" s="15">
        <v>-135.69999999999999</v>
      </c>
    </row>
    <row r="23" spans="1:13" x14ac:dyDescent="0.55000000000000004">
      <c r="A23" s="10">
        <v>22</v>
      </c>
      <c r="B23" s="3">
        <v>2019</v>
      </c>
      <c r="D23" s="15">
        <f t="shared" si="1"/>
        <v>0</v>
      </c>
      <c r="E23" s="15">
        <f t="shared" si="2"/>
        <v>0</v>
      </c>
      <c r="F23" s="15">
        <f t="shared" si="3"/>
        <v>-280</v>
      </c>
      <c r="H23" s="61">
        <v>0</v>
      </c>
      <c r="I23" s="15">
        <v>-280</v>
      </c>
      <c r="J23" s="15">
        <v>-280.8</v>
      </c>
      <c r="K23" s="15">
        <v>-19.7</v>
      </c>
      <c r="L23" s="15">
        <v>-230.8</v>
      </c>
      <c r="M23" s="15">
        <v>-280.39999999999998</v>
      </c>
    </row>
    <row r="24" spans="1:13" x14ac:dyDescent="0.55000000000000004">
      <c r="A24" s="10">
        <v>23</v>
      </c>
      <c r="B24" s="3">
        <v>2020</v>
      </c>
      <c r="D24" s="15">
        <f t="shared" si="1"/>
        <v>0</v>
      </c>
      <c r="E24" s="15">
        <f t="shared" si="2"/>
        <v>0</v>
      </c>
      <c r="F24" s="15">
        <f t="shared" si="3"/>
        <v>-258.8</v>
      </c>
      <c r="H24" s="60">
        <v>0</v>
      </c>
      <c r="I24" s="15">
        <v>-258.8</v>
      </c>
      <c r="J24" s="15">
        <v>-262.39999999999998</v>
      </c>
      <c r="K24" s="15">
        <v>-45.6</v>
      </c>
      <c r="L24" s="15">
        <v>-212.4</v>
      </c>
      <c r="M24" s="15">
        <v>-260.8</v>
      </c>
    </row>
    <row r="25" spans="1:13" x14ac:dyDescent="0.55000000000000004">
      <c r="A25" s="10">
        <v>24</v>
      </c>
      <c r="B25" s="3">
        <v>2021</v>
      </c>
      <c r="D25" s="15">
        <f t="shared" si="1"/>
        <v>0</v>
      </c>
      <c r="E25" s="15">
        <f t="shared" si="2"/>
        <v>0</v>
      </c>
      <c r="F25" s="15">
        <f t="shared" si="3"/>
        <v>-220.8</v>
      </c>
      <c r="H25" s="60">
        <v>0</v>
      </c>
      <c r="I25" s="15">
        <v>-220.8</v>
      </c>
      <c r="J25" s="15">
        <v>-226.6</v>
      </c>
      <c r="K25" s="15">
        <v>-51.9</v>
      </c>
      <c r="L25" s="15">
        <v>-176.6</v>
      </c>
      <c r="M25" s="15">
        <v>-223</v>
      </c>
    </row>
    <row r="26" spans="1:13" x14ac:dyDescent="0.55000000000000004">
      <c r="A26" s="10">
        <v>25</v>
      </c>
      <c r="B26" s="3">
        <v>2022</v>
      </c>
      <c r="D26" s="15">
        <f t="shared" si="1"/>
        <v>0</v>
      </c>
      <c r="E26" s="15">
        <f t="shared" si="2"/>
        <v>0</v>
      </c>
      <c r="F26" s="15">
        <f t="shared" si="3"/>
        <v>-178.3</v>
      </c>
      <c r="H26" s="60">
        <v>0</v>
      </c>
      <c r="I26" s="15">
        <v>-178.3</v>
      </c>
      <c r="J26" s="15">
        <v>-215.3</v>
      </c>
      <c r="K26" s="15">
        <v>-37.299999999999997</v>
      </c>
      <c r="L26" s="15">
        <v>-165.3</v>
      </c>
      <c r="M26" s="15">
        <v>-180.7</v>
      </c>
    </row>
    <row r="27" spans="1:13" x14ac:dyDescent="0.55000000000000004">
      <c r="A27" s="10">
        <v>26</v>
      </c>
      <c r="B27" s="3">
        <v>2023</v>
      </c>
      <c r="D27" s="15">
        <f t="shared" si="1"/>
        <v>0</v>
      </c>
      <c r="E27" s="15">
        <f t="shared" si="2"/>
        <v>0</v>
      </c>
      <c r="F27" s="15">
        <f t="shared" si="3"/>
        <v>-137.9</v>
      </c>
      <c r="H27" s="60">
        <v>0</v>
      </c>
      <c r="I27" s="15">
        <v>-137.9</v>
      </c>
      <c r="J27" s="15">
        <v>-193.1</v>
      </c>
      <c r="K27" s="15">
        <v>-25.5</v>
      </c>
      <c r="L27" s="15">
        <v>-143.1</v>
      </c>
      <c r="M27" s="15">
        <v>-140.6</v>
      </c>
    </row>
    <row r="28" spans="1:13" x14ac:dyDescent="0.55000000000000004">
      <c r="A28" s="10">
        <v>27</v>
      </c>
      <c r="B28" s="3">
        <v>2024</v>
      </c>
      <c r="D28" s="15">
        <f t="shared" si="1"/>
        <v>0</v>
      </c>
      <c r="E28" s="15">
        <f t="shared" si="2"/>
        <v>0</v>
      </c>
      <c r="F28" s="15">
        <f t="shared" si="3"/>
        <v>-120.1</v>
      </c>
      <c r="H28" s="60">
        <v>0</v>
      </c>
      <c r="I28" s="15">
        <v>-120.1</v>
      </c>
      <c r="J28" s="15">
        <v>-174.5</v>
      </c>
      <c r="K28" s="15">
        <v>-18.399999999999999</v>
      </c>
      <c r="L28" s="15">
        <v>-124.5</v>
      </c>
      <c r="M28" s="15">
        <v>-123</v>
      </c>
    </row>
    <row r="29" spans="1:13" x14ac:dyDescent="0.55000000000000004">
      <c r="A29" s="10">
        <v>28</v>
      </c>
      <c r="B29" s="3">
        <v>2025</v>
      </c>
      <c r="D29" s="15">
        <f t="shared" si="1"/>
        <v>0</v>
      </c>
      <c r="E29" s="15">
        <f t="shared" si="2"/>
        <v>0</v>
      </c>
      <c r="F29" s="15">
        <f t="shared" si="3"/>
        <v>-114.6</v>
      </c>
      <c r="H29" s="60">
        <v>0</v>
      </c>
      <c r="I29" s="15">
        <v>-114.6</v>
      </c>
      <c r="J29" s="15">
        <v>-169.1</v>
      </c>
      <c r="K29" s="15">
        <v>-15.2</v>
      </c>
      <c r="L29" s="15">
        <v>-119.1</v>
      </c>
      <c r="M29" s="15">
        <v>-118</v>
      </c>
    </row>
    <row r="30" spans="1:13" x14ac:dyDescent="0.55000000000000004">
      <c r="A30" s="10">
        <v>29</v>
      </c>
      <c r="B30" s="3">
        <v>2026</v>
      </c>
      <c r="D30" s="15">
        <f t="shared" si="1"/>
        <v>0</v>
      </c>
      <c r="E30" s="15">
        <f t="shared" si="2"/>
        <v>0</v>
      </c>
      <c r="F30" s="15">
        <f t="shared" si="3"/>
        <v>-40.6</v>
      </c>
      <c r="H30" s="60">
        <v>0</v>
      </c>
      <c r="I30" s="15">
        <v>-40.6</v>
      </c>
      <c r="J30" s="15">
        <v>-264.8</v>
      </c>
      <c r="K30" s="15">
        <v>-13.5</v>
      </c>
      <c r="L30" s="15">
        <v>-214.8</v>
      </c>
      <c r="M30" s="15">
        <v>-196.8</v>
      </c>
    </row>
    <row r="31" spans="1:13" x14ac:dyDescent="0.55000000000000004">
      <c r="A31" s="10">
        <v>30</v>
      </c>
      <c r="B31" s="3">
        <v>2027</v>
      </c>
      <c r="D31" s="15">
        <f t="shared" si="1"/>
        <v>0</v>
      </c>
      <c r="E31" s="15">
        <f t="shared" si="2"/>
        <v>0</v>
      </c>
      <c r="F31" s="15">
        <f t="shared" si="3"/>
        <v>32.9</v>
      </c>
      <c r="H31" s="60">
        <v>0</v>
      </c>
      <c r="I31" s="15">
        <v>32.9</v>
      </c>
      <c r="J31" s="15">
        <v>-283.8</v>
      </c>
      <c r="K31" s="15">
        <v>-12.6</v>
      </c>
      <c r="L31" s="15">
        <v>-233.8</v>
      </c>
      <c r="M31" s="15">
        <v>-199.8</v>
      </c>
    </row>
  </sheetData>
  <mergeCells count="2">
    <mergeCell ref="H1:M1"/>
    <mergeCell ref="E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4" sqref="A14:XFD28"/>
    </sheetView>
  </sheetViews>
  <sheetFormatPr defaultRowHeight="14.4" x14ac:dyDescent="0.55000000000000004"/>
  <sheetData>
    <row r="1" spans="1:12" ht="14.7" thickBot="1" x14ac:dyDescent="0.6">
      <c r="A1" s="51"/>
      <c r="B1" s="58">
        <v>2017</v>
      </c>
      <c r="C1" s="59">
        <f t="shared" ref="C1:L1" si="0">B1+1</f>
        <v>2018</v>
      </c>
      <c r="D1" s="59">
        <f t="shared" si="0"/>
        <v>2019</v>
      </c>
      <c r="E1" s="59">
        <f t="shared" si="0"/>
        <v>2020</v>
      </c>
      <c r="F1" s="59">
        <f t="shared" si="0"/>
        <v>2021</v>
      </c>
      <c r="G1" s="59">
        <f t="shared" si="0"/>
        <v>2022</v>
      </c>
      <c r="H1" s="59">
        <f t="shared" si="0"/>
        <v>2023</v>
      </c>
      <c r="I1" s="59">
        <f t="shared" si="0"/>
        <v>2024</v>
      </c>
      <c r="J1" s="59">
        <f t="shared" si="0"/>
        <v>2025</v>
      </c>
      <c r="K1" s="59">
        <f t="shared" si="0"/>
        <v>2026</v>
      </c>
      <c r="L1" s="59">
        <f t="shared" si="0"/>
        <v>2027</v>
      </c>
    </row>
    <row r="2" spans="1:12" x14ac:dyDescent="0.55000000000000004">
      <c r="A2" s="51">
        <f>B1</f>
        <v>2017</v>
      </c>
      <c r="B2" s="52">
        <v>6.6E-3</v>
      </c>
      <c r="C2" s="53">
        <v>1.14E-2</v>
      </c>
      <c r="D2" s="53">
        <v>1.5599999999999999E-2</v>
      </c>
      <c r="E2" s="53">
        <v>2.12E-2</v>
      </c>
      <c r="F2" s="53">
        <v>2.6599999999999999E-2</v>
      </c>
      <c r="G2" s="53">
        <v>2.9499999999999998E-2</v>
      </c>
      <c r="H2" s="53">
        <v>3.1199999999999999E-2</v>
      </c>
      <c r="I2" s="53">
        <v>3.2599999999999997E-2</v>
      </c>
      <c r="J2" s="53">
        <v>3.4099999999999998E-2</v>
      </c>
      <c r="K2" s="53">
        <v>3.5299999999999998E-2</v>
      </c>
      <c r="L2" s="53">
        <v>3.6900000000000002E-2</v>
      </c>
    </row>
    <row r="3" spans="1:12" x14ac:dyDescent="0.55000000000000004">
      <c r="A3" s="51">
        <f t="shared" ref="A3:A12" si="1">A2+1</f>
        <v>2018</v>
      </c>
      <c r="B3" s="54"/>
      <c r="C3" s="55">
        <v>7.3000000000000001E-3</v>
      </c>
      <c r="D3" s="55">
        <v>1.7999999999999999E-2</v>
      </c>
      <c r="E3" s="55">
        <v>2.1299999999999999E-2</v>
      </c>
      <c r="F3" s="55">
        <v>2.53E-2</v>
      </c>
      <c r="G3" s="55">
        <v>2.8000000000000001E-2</v>
      </c>
      <c r="H3" s="55">
        <v>0.03</v>
      </c>
      <c r="I3" s="55">
        <v>3.2199999999999999E-2</v>
      </c>
      <c r="J3" s="55">
        <v>3.4299999999999997E-2</v>
      </c>
      <c r="K3" s="55">
        <v>3.6400000000000002E-2</v>
      </c>
      <c r="L3" s="55">
        <v>3.7600000000000001E-2</v>
      </c>
    </row>
    <row r="4" spans="1:12" x14ac:dyDescent="0.55000000000000004">
      <c r="A4" s="51">
        <f t="shared" si="1"/>
        <v>2019</v>
      </c>
      <c r="B4" s="54"/>
      <c r="C4" s="55"/>
      <c r="D4" s="55">
        <v>1.0699999999999999E-2</v>
      </c>
      <c r="E4" s="55">
        <v>2.2599999999999999E-2</v>
      </c>
      <c r="F4" s="55">
        <v>2.5999999999999999E-2</v>
      </c>
      <c r="G4" s="55">
        <v>2.87E-2</v>
      </c>
      <c r="H4" s="55">
        <v>3.0499999999999999E-2</v>
      </c>
      <c r="I4" s="55">
        <v>3.2199999999999999E-2</v>
      </c>
      <c r="J4" s="55">
        <v>3.4099999999999998E-2</v>
      </c>
      <c r="K4" s="55">
        <v>3.5900000000000001E-2</v>
      </c>
      <c r="L4" s="55">
        <v>3.78E-2</v>
      </c>
    </row>
    <row r="5" spans="1:12" x14ac:dyDescent="0.55000000000000004">
      <c r="A5" s="51">
        <f t="shared" si="1"/>
        <v>2020</v>
      </c>
      <c r="B5" s="54"/>
      <c r="C5" s="55"/>
      <c r="D5" s="55"/>
      <c r="E5" s="55">
        <v>1.14E-2</v>
      </c>
      <c r="F5" s="55">
        <v>2.7400000000000001E-2</v>
      </c>
      <c r="G5" s="55">
        <v>2.9399999999999999E-2</v>
      </c>
      <c r="H5" s="55">
        <v>3.1099999999999999E-2</v>
      </c>
      <c r="I5" s="55">
        <v>3.2599999999999997E-2</v>
      </c>
      <c r="J5" s="55">
        <v>3.4099999999999998E-2</v>
      </c>
      <c r="K5" s="55">
        <v>3.5700000000000003E-2</v>
      </c>
      <c r="L5" s="55">
        <v>3.73E-2</v>
      </c>
    </row>
    <row r="6" spans="1:12" x14ac:dyDescent="0.55000000000000004">
      <c r="A6" s="51">
        <f t="shared" si="1"/>
        <v>2021</v>
      </c>
      <c r="B6" s="54"/>
      <c r="C6" s="55"/>
      <c r="D6" s="55"/>
      <c r="E6" s="55"/>
      <c r="F6" s="55">
        <v>1.38E-2</v>
      </c>
      <c r="G6" s="55">
        <v>3.0800000000000001E-2</v>
      </c>
      <c r="H6" s="55">
        <v>3.2000000000000001E-2</v>
      </c>
      <c r="I6" s="55">
        <v>3.3300000000000003E-2</v>
      </c>
      <c r="J6" s="55">
        <v>3.4599999999999999E-2</v>
      </c>
      <c r="K6" s="55">
        <v>3.5900000000000001E-2</v>
      </c>
      <c r="L6" s="55">
        <v>3.7199999999999997E-2</v>
      </c>
    </row>
    <row r="7" spans="1:12" x14ac:dyDescent="0.55000000000000004">
      <c r="A7" s="51">
        <f t="shared" si="1"/>
        <v>2022</v>
      </c>
      <c r="B7" s="54"/>
      <c r="C7" s="55"/>
      <c r="D7" s="55"/>
      <c r="E7" s="55"/>
      <c r="F7" s="55"/>
      <c r="G7" s="55">
        <v>1.43E-2</v>
      </c>
      <c r="H7" s="55">
        <v>3.2000000000000001E-2</v>
      </c>
      <c r="I7" s="55">
        <v>3.3099999999999997E-2</v>
      </c>
      <c r="J7" s="55">
        <v>3.4299999999999997E-2</v>
      </c>
      <c r="K7" s="55">
        <v>3.5499999999999997E-2</v>
      </c>
      <c r="L7" s="55">
        <v>3.6700000000000003E-2</v>
      </c>
    </row>
    <row r="8" spans="1:12" x14ac:dyDescent="0.55000000000000004">
      <c r="A8" s="51">
        <f t="shared" si="1"/>
        <v>2023</v>
      </c>
      <c r="B8" s="54"/>
      <c r="C8" s="55"/>
      <c r="D8" s="55"/>
      <c r="E8" s="55"/>
      <c r="F8" s="55"/>
      <c r="G8" s="55"/>
      <c r="H8" s="55">
        <v>1.44E-2</v>
      </c>
      <c r="I8" s="55">
        <v>3.2399999999999998E-2</v>
      </c>
      <c r="J8" s="55">
        <v>3.3399999999999999E-2</v>
      </c>
      <c r="K8" s="55">
        <v>3.4599999999999999E-2</v>
      </c>
      <c r="L8" s="55">
        <v>3.5700000000000003E-2</v>
      </c>
    </row>
    <row r="9" spans="1:12" x14ac:dyDescent="0.55000000000000004">
      <c r="A9" s="51">
        <f t="shared" si="1"/>
        <v>2024</v>
      </c>
      <c r="B9" s="54"/>
      <c r="C9" s="55"/>
      <c r="D9" s="55"/>
      <c r="E9" s="55"/>
      <c r="F9" s="55"/>
      <c r="G9" s="55"/>
      <c r="H9" s="55"/>
      <c r="I9" s="55">
        <v>1.4800000000000001E-2</v>
      </c>
      <c r="J9" s="55">
        <v>3.2500000000000001E-2</v>
      </c>
      <c r="K9" s="55">
        <v>3.3599999999999998E-2</v>
      </c>
      <c r="L9" s="55">
        <v>3.4700000000000002E-2</v>
      </c>
    </row>
    <row r="10" spans="1:12" x14ac:dyDescent="0.55000000000000004">
      <c r="A10" s="51">
        <f t="shared" si="1"/>
        <v>2025</v>
      </c>
      <c r="B10" s="54"/>
      <c r="C10" s="55"/>
      <c r="D10" s="55"/>
      <c r="E10" s="55"/>
      <c r="F10" s="55"/>
      <c r="G10" s="55"/>
      <c r="H10" s="55"/>
      <c r="I10" s="55"/>
      <c r="J10" s="55">
        <v>1.49E-2</v>
      </c>
      <c r="K10" s="55">
        <v>3.2599999999999997E-2</v>
      </c>
      <c r="L10" s="55">
        <v>3.3700000000000001E-2</v>
      </c>
    </row>
    <row r="11" spans="1:12" x14ac:dyDescent="0.55000000000000004">
      <c r="A11" s="51">
        <f t="shared" si="1"/>
        <v>2026</v>
      </c>
      <c r="B11" s="54"/>
      <c r="C11" s="55"/>
      <c r="D11" s="55"/>
      <c r="E11" s="55"/>
      <c r="F11" s="55"/>
      <c r="G11" s="55"/>
      <c r="H11" s="55"/>
      <c r="I11" s="55"/>
      <c r="J11" s="55"/>
      <c r="K11" s="55">
        <v>1.49E-2</v>
      </c>
      <c r="L11" s="55">
        <v>3.27E-2</v>
      </c>
    </row>
    <row r="12" spans="1:12" x14ac:dyDescent="0.55000000000000004">
      <c r="A12" s="51">
        <f t="shared" si="1"/>
        <v>2027</v>
      </c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>
        <v>1.49E-2</v>
      </c>
    </row>
    <row r="13" spans="1:12" x14ac:dyDescent="0.55000000000000004">
      <c r="A13" s="20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B7" workbookViewId="0">
      <selection activeCell="A7" sqref="A7:XFD8"/>
    </sheetView>
  </sheetViews>
  <sheetFormatPr defaultColWidth="8.83984375" defaultRowHeight="14.4" x14ac:dyDescent="0.55000000000000004"/>
  <cols>
    <col min="1" max="1" width="49" bestFit="1" customWidth="1"/>
    <col min="2" max="2" width="16.83984375" bestFit="1" customWidth="1"/>
    <col min="3" max="3" width="11.47265625" bestFit="1" customWidth="1"/>
    <col min="4" max="4" width="16.62890625" bestFit="1" customWidth="1"/>
    <col min="5" max="5" width="16.83984375" bestFit="1" customWidth="1"/>
    <col min="6" max="6" width="13.3125" bestFit="1" customWidth="1"/>
    <col min="7" max="8" width="11.47265625" bestFit="1" customWidth="1"/>
    <col min="9" max="9" width="10.9453125" bestFit="1" customWidth="1"/>
    <col min="10" max="10" width="10.9453125" customWidth="1"/>
    <col min="11" max="11" width="8.68359375" bestFit="1" customWidth="1"/>
    <col min="12" max="12" width="11.578125" bestFit="1" customWidth="1"/>
  </cols>
  <sheetData>
    <row r="1" spans="2:10" x14ac:dyDescent="0.55000000000000004">
      <c r="B1" t="s">
        <v>196</v>
      </c>
      <c r="C1" t="s">
        <v>195</v>
      </c>
      <c r="D1" t="s">
        <v>194</v>
      </c>
      <c r="E1" t="s">
        <v>193</v>
      </c>
      <c r="F1" t="s">
        <v>192</v>
      </c>
      <c r="G1" t="s">
        <v>191</v>
      </c>
      <c r="H1" t="s">
        <v>190</v>
      </c>
    </row>
    <row r="2" spans="2:10" x14ac:dyDescent="0.55000000000000004">
      <c r="B2" t="s">
        <v>0</v>
      </c>
      <c r="E2" t="s">
        <v>0</v>
      </c>
      <c r="G2">
        <v>4571425640410</v>
      </c>
      <c r="H2">
        <v>1610127359590</v>
      </c>
    </row>
    <row r="3" spans="2:10" x14ac:dyDescent="0.55000000000000004">
      <c r="B3" t="s">
        <v>189</v>
      </c>
      <c r="E3" t="s">
        <v>189</v>
      </c>
      <c r="G3">
        <v>1636420413280</v>
      </c>
      <c r="H3">
        <v>336147586718</v>
      </c>
    </row>
    <row r="4" spans="2:10" x14ac:dyDescent="0.55000000000000004">
      <c r="B4" t="s">
        <v>188</v>
      </c>
      <c r="C4">
        <v>27.5</v>
      </c>
      <c r="D4" t="s">
        <v>187</v>
      </c>
      <c r="E4" t="s">
        <v>1</v>
      </c>
      <c r="F4" t="s">
        <v>186</v>
      </c>
      <c r="G4">
        <v>333776430841</v>
      </c>
      <c r="H4">
        <v>1251223569160</v>
      </c>
    </row>
    <row r="5" spans="2:10" x14ac:dyDescent="0.55000000000000004">
      <c r="B5" t="s">
        <v>1</v>
      </c>
      <c r="E5" t="s">
        <v>1</v>
      </c>
      <c r="G5">
        <v>8826704763220</v>
      </c>
      <c r="H5">
        <v>4852032236780</v>
      </c>
    </row>
    <row r="7" spans="2:10" x14ac:dyDescent="0.55000000000000004">
      <c r="J7" s="6"/>
    </row>
    <row r="8" spans="2:10" x14ac:dyDescent="0.55000000000000004">
      <c r="C8" t="s">
        <v>182</v>
      </c>
      <c r="D8" t="s">
        <v>179</v>
      </c>
      <c r="E8" t="s">
        <v>90</v>
      </c>
    </row>
    <row r="9" spans="2:10" x14ac:dyDescent="0.55000000000000004">
      <c r="B9" t="s">
        <v>0</v>
      </c>
      <c r="C9">
        <f>G2</f>
        <v>4571425640410</v>
      </c>
      <c r="D9">
        <f>H2</f>
        <v>1610127359590</v>
      </c>
      <c r="E9">
        <f>SUM(C9:D9)</f>
        <v>6181553000000</v>
      </c>
      <c r="J9" s="8"/>
    </row>
    <row r="10" spans="2:10" x14ac:dyDescent="0.55000000000000004">
      <c r="B10" t="s">
        <v>1</v>
      </c>
      <c r="C10">
        <f>G5-G4</f>
        <v>8492928332379</v>
      </c>
      <c r="D10">
        <f>H5-H4</f>
        <v>3600808667620</v>
      </c>
      <c r="E10">
        <f>SUM(C10:D10)</f>
        <v>12093736999999</v>
      </c>
      <c r="J10" s="8"/>
    </row>
    <row r="11" spans="2:10" x14ac:dyDescent="0.55000000000000004">
      <c r="B11" t="s">
        <v>92</v>
      </c>
      <c r="C11">
        <f>G4</f>
        <v>333776430841</v>
      </c>
      <c r="D11">
        <f>H4</f>
        <v>1251223569160</v>
      </c>
      <c r="E11">
        <f>SUM(C11:D11)</f>
        <v>1585000000001</v>
      </c>
      <c r="J11" s="8"/>
    </row>
    <row r="12" spans="2:10" x14ac:dyDescent="0.55000000000000004">
      <c r="B12" t="s">
        <v>181</v>
      </c>
      <c r="C12">
        <f>G3</f>
        <v>1636420413280</v>
      </c>
      <c r="D12">
        <f>H3</f>
        <v>336147586718</v>
      </c>
      <c r="E12">
        <f>SUM(C12:D12)</f>
        <v>1972567999998</v>
      </c>
      <c r="J12" s="8"/>
    </row>
    <row r="13" spans="2:10" x14ac:dyDescent="0.55000000000000004">
      <c r="B13" t="s">
        <v>180</v>
      </c>
      <c r="C13">
        <f>G3</f>
        <v>1636420413280</v>
      </c>
      <c r="D13">
        <f>H3</f>
        <v>336147586718</v>
      </c>
      <c r="E13">
        <f>SUM(C13:D13)</f>
        <v>1972567999998</v>
      </c>
      <c r="J13" s="8"/>
    </row>
    <row r="15" spans="2:10" x14ac:dyDescent="0.55000000000000004">
      <c r="C15" s="84" t="s">
        <v>185</v>
      </c>
      <c r="D15" s="84"/>
    </row>
    <row r="16" spans="2:10" x14ac:dyDescent="0.55000000000000004">
      <c r="C16" t="s">
        <v>182</v>
      </c>
      <c r="D16" t="s">
        <v>179</v>
      </c>
    </row>
    <row r="17" spans="2:5" x14ac:dyDescent="0.55000000000000004">
      <c r="B17" t="s">
        <v>0</v>
      </c>
      <c r="C17" s="8">
        <f t="shared" ref="C17:D21" si="0">C9/$E9</f>
        <v>0.73952704771923816</v>
      </c>
      <c r="D17" s="8">
        <f t="shared" si="0"/>
        <v>0.26047295228076178</v>
      </c>
    </row>
    <row r="18" spans="2:5" x14ac:dyDescent="0.55000000000000004">
      <c r="B18" t="s">
        <v>1</v>
      </c>
      <c r="C18" s="8">
        <f t="shared" si="0"/>
        <v>0.70225839476910257</v>
      </c>
      <c r="D18" s="8">
        <f t="shared" si="0"/>
        <v>0.29774160523089743</v>
      </c>
    </row>
    <row r="19" spans="2:5" x14ac:dyDescent="0.55000000000000004">
      <c r="B19" t="s">
        <v>92</v>
      </c>
      <c r="C19" s="8">
        <f t="shared" si="0"/>
        <v>0.21058449895317943</v>
      </c>
      <c r="D19" s="8">
        <f t="shared" si="0"/>
        <v>0.78941550104682057</v>
      </c>
    </row>
    <row r="20" spans="2:5" x14ac:dyDescent="0.55000000000000004">
      <c r="B20" t="s">
        <v>181</v>
      </c>
      <c r="C20" s="8">
        <f t="shared" si="0"/>
        <v>0.82958884726998472</v>
      </c>
      <c r="D20" s="8">
        <f t="shared" si="0"/>
        <v>0.17041115273001531</v>
      </c>
    </row>
    <row r="21" spans="2:5" x14ac:dyDescent="0.55000000000000004">
      <c r="B21" t="s">
        <v>180</v>
      </c>
      <c r="C21" s="8">
        <f t="shared" si="0"/>
        <v>0.82958884726998472</v>
      </c>
      <c r="D21" s="8">
        <f t="shared" si="0"/>
        <v>0.17041115273001531</v>
      </c>
    </row>
    <row r="22" spans="2:5" x14ac:dyDescent="0.55000000000000004">
      <c r="B22" t="s">
        <v>90</v>
      </c>
    </row>
    <row r="24" spans="2:5" x14ac:dyDescent="0.55000000000000004">
      <c r="B24" s="67"/>
      <c r="C24" s="84" t="s">
        <v>184</v>
      </c>
      <c r="D24" s="84"/>
      <c r="E24" s="84"/>
    </row>
    <row r="25" spans="2:5" x14ac:dyDescent="0.55000000000000004">
      <c r="C25" t="s">
        <v>182</v>
      </c>
      <c r="D25" t="s">
        <v>179</v>
      </c>
      <c r="E25" s="67" t="s">
        <v>90</v>
      </c>
    </row>
    <row r="26" spans="2:5" x14ac:dyDescent="0.55000000000000004">
      <c r="B26" t="s">
        <v>0</v>
      </c>
      <c r="C26" s="9">
        <f t="shared" ref="C26:D30" si="1">$E26*C17</f>
        <v>1082.4383444761718</v>
      </c>
      <c r="D26" s="9">
        <f t="shared" si="1"/>
        <v>381.25165552382822</v>
      </c>
      <c r="E26">
        <v>1463.69</v>
      </c>
    </row>
    <row r="27" spans="2:5" x14ac:dyDescent="0.55000000000000004">
      <c r="B27" t="s">
        <v>1</v>
      </c>
      <c r="C27" s="9">
        <f t="shared" si="1"/>
        <v>962.39807871860557</v>
      </c>
      <c r="D27" s="9">
        <f t="shared" si="1"/>
        <v>408.03492128139447</v>
      </c>
      <c r="E27">
        <v>1370.433</v>
      </c>
    </row>
    <row r="28" spans="2:5" x14ac:dyDescent="0.55000000000000004">
      <c r="B28" t="s">
        <v>92</v>
      </c>
      <c r="C28" s="9">
        <f t="shared" si="1"/>
        <v>57.296041059680014</v>
      </c>
      <c r="D28" s="9">
        <f t="shared" si="1"/>
        <v>214.78495894032</v>
      </c>
      <c r="E28">
        <v>272.08100000000002</v>
      </c>
    </row>
    <row r="29" spans="2:5" x14ac:dyDescent="0.55000000000000004">
      <c r="B29" t="s">
        <v>181</v>
      </c>
      <c r="C29" s="9">
        <f t="shared" si="1"/>
        <v>353.78894857329954</v>
      </c>
      <c r="D29" s="9">
        <f t="shared" si="1"/>
        <v>72.674051426700515</v>
      </c>
      <c r="E29">
        <v>426.46300000000002</v>
      </c>
    </row>
    <row r="30" spans="2:5" x14ac:dyDescent="0.55000000000000004">
      <c r="B30" t="s">
        <v>180</v>
      </c>
      <c r="C30" s="9">
        <f t="shared" si="1"/>
        <v>519.30768579175958</v>
      </c>
      <c r="D30" s="9">
        <f t="shared" si="1"/>
        <v>106.67431420824043</v>
      </c>
      <c r="E30">
        <v>625.98199999999997</v>
      </c>
    </row>
    <row r="31" spans="2:5" x14ac:dyDescent="0.55000000000000004">
      <c r="B31" t="s">
        <v>90</v>
      </c>
      <c r="C31">
        <f>SUM(C26:C30)</f>
        <v>2975.2290986195162</v>
      </c>
      <c r="D31">
        <f>SUM(D26:D30)</f>
        <v>1183.4199013804837</v>
      </c>
      <c r="E31">
        <f>SUM(E26:E30)</f>
        <v>4158.6490000000003</v>
      </c>
    </row>
    <row r="33" spans="2:4" x14ac:dyDescent="0.55000000000000004">
      <c r="C33" s="84" t="s">
        <v>183</v>
      </c>
      <c r="D33" s="84"/>
    </row>
    <row r="34" spans="2:4" x14ac:dyDescent="0.55000000000000004">
      <c r="C34" t="s">
        <v>182</v>
      </c>
      <c r="D34" t="s">
        <v>179</v>
      </c>
    </row>
    <row r="35" spans="2:4" x14ac:dyDescent="0.55000000000000004">
      <c r="B35" t="s">
        <v>0</v>
      </c>
      <c r="C35">
        <f t="shared" ref="C35:D39" si="2">ROUND(C26/C$31, 3)</f>
        <v>0.36399999999999999</v>
      </c>
      <c r="D35">
        <f t="shared" si="2"/>
        <v>0.32200000000000001</v>
      </c>
    </row>
    <row r="36" spans="2:4" x14ac:dyDescent="0.55000000000000004">
      <c r="B36" t="s">
        <v>1</v>
      </c>
      <c r="C36">
        <f t="shared" si="2"/>
        <v>0.32300000000000001</v>
      </c>
      <c r="D36">
        <f t="shared" si="2"/>
        <v>0.34499999999999997</v>
      </c>
    </row>
    <row r="37" spans="2:4" x14ac:dyDescent="0.55000000000000004">
      <c r="B37" t="s">
        <v>92</v>
      </c>
      <c r="C37">
        <f t="shared" si="2"/>
        <v>1.9E-2</v>
      </c>
      <c r="D37">
        <f t="shared" si="2"/>
        <v>0.18099999999999999</v>
      </c>
    </row>
    <row r="38" spans="2:4" x14ac:dyDescent="0.55000000000000004">
      <c r="B38" t="s">
        <v>181</v>
      </c>
      <c r="C38">
        <f t="shared" si="2"/>
        <v>0.11899999999999999</v>
      </c>
      <c r="D38">
        <f t="shared" si="2"/>
        <v>6.0999999999999999E-2</v>
      </c>
    </row>
    <row r="39" spans="2:4" x14ac:dyDescent="0.55000000000000004">
      <c r="B39" t="s">
        <v>180</v>
      </c>
      <c r="C39">
        <f t="shared" si="2"/>
        <v>0.17499999999999999</v>
      </c>
      <c r="D39">
        <f t="shared" si="2"/>
        <v>0.09</v>
      </c>
    </row>
  </sheetData>
  <mergeCells count="3">
    <mergeCell ref="C15:D15"/>
    <mergeCell ref="C33:D33"/>
    <mergeCell ref="C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104</vt:i4>
      </vt:variant>
    </vt:vector>
  </HeadingPairs>
  <TitlesOfParts>
    <vt:vector size="114" baseType="lpstr">
      <vt:lpstr>Readme</vt:lpstr>
      <vt:lpstr>Output</vt:lpstr>
      <vt:lpstr>UC_K_Y</vt:lpstr>
      <vt:lpstr>Fiscal</vt:lpstr>
      <vt:lpstr>CCR</vt:lpstr>
      <vt:lpstr>EconParam</vt:lpstr>
      <vt:lpstr>PolicyParam</vt:lpstr>
      <vt:lpstr>DebtService</vt:lpstr>
      <vt:lpstr>Alpha</vt:lpstr>
      <vt:lpstr>EconDeprecData</vt:lpstr>
      <vt:lpstr>alpha</vt:lpstr>
      <vt:lpstr>alpha_c_eq</vt:lpstr>
      <vt:lpstr>alpha_c_ip</vt:lpstr>
      <vt:lpstr>alpha_c_rd</vt:lpstr>
      <vt:lpstr>alpha_c_rr</vt:lpstr>
      <vt:lpstr>alpha_c_st</vt:lpstr>
      <vt:lpstr>alpha_p_eq</vt:lpstr>
      <vt:lpstr>alpha_p_ip</vt:lpstr>
      <vt:lpstr>alpha_p_rd</vt:lpstr>
      <vt:lpstr>alpha_p_rr</vt:lpstr>
      <vt:lpstr>alpha_p_st</vt:lpstr>
      <vt:lpstr>bonus_eq_0</vt:lpstr>
      <vt:lpstr>bonus_eq_1</vt:lpstr>
      <vt:lpstr>bonus_eq_B</vt:lpstr>
      <vt:lpstr>bonus_ip_0</vt:lpstr>
      <vt:lpstr>bonus_ip_1</vt:lpstr>
      <vt:lpstr>bonus_ip_B</vt:lpstr>
      <vt:lpstr>bonus_rd_0</vt:lpstr>
      <vt:lpstr>bonus_rd_1</vt:lpstr>
      <vt:lpstr>bonus_rd_B</vt:lpstr>
      <vt:lpstr>bonus_rr_0</vt:lpstr>
      <vt:lpstr>bonus_rr_1</vt:lpstr>
      <vt:lpstr>bonus_rr_B</vt:lpstr>
      <vt:lpstr>bonus_st_0</vt:lpstr>
      <vt:lpstr>bonus_st_1</vt:lpstr>
      <vt:lpstr>bonus_st_B</vt:lpstr>
      <vt:lpstr>ccr_eq_0</vt:lpstr>
      <vt:lpstr>ccr_eq_1</vt:lpstr>
      <vt:lpstr>ccr_eq_B</vt:lpstr>
      <vt:lpstr>ccr_i_baseline</vt:lpstr>
      <vt:lpstr>ccr_i_reform</vt:lpstr>
      <vt:lpstr>ccr_ip_0</vt:lpstr>
      <vt:lpstr>ccr_ip_1</vt:lpstr>
      <vt:lpstr>ccr_ip_B</vt:lpstr>
      <vt:lpstr>ccr_rd_0</vt:lpstr>
      <vt:lpstr>ccr_rd_1</vt:lpstr>
      <vt:lpstr>ccr_rd_B</vt:lpstr>
      <vt:lpstr>ccr_rr_0</vt:lpstr>
      <vt:lpstr>ccr_rr_1</vt:lpstr>
      <vt:lpstr>ccr_rr_B</vt:lpstr>
      <vt:lpstr>ccr_st_0</vt:lpstr>
      <vt:lpstr>ccr_st_1</vt:lpstr>
      <vt:lpstr>ccr_st_B</vt:lpstr>
      <vt:lpstr>debt_lim_0</vt:lpstr>
      <vt:lpstr>debt_lim_1</vt:lpstr>
      <vt:lpstr>debt_lim_B</vt:lpstr>
      <vt:lpstr>delta_eq</vt:lpstr>
      <vt:lpstr>delta_ip</vt:lpstr>
      <vt:lpstr>delta_rd</vt:lpstr>
      <vt:lpstr>delta_rr</vt:lpstr>
      <vt:lpstr>delta_st</vt:lpstr>
      <vt:lpstr>dY</vt:lpstr>
      <vt:lpstr>dY_B</vt:lpstr>
      <vt:lpstr>dY_c</vt:lpstr>
      <vt:lpstr>dY_c_co</vt:lpstr>
      <vt:lpstr>dY_co</vt:lpstr>
      <vt:lpstr>dY_p</vt:lpstr>
      <vt:lpstr>dY_p_co</vt:lpstr>
      <vt:lpstr>econ_param</vt:lpstr>
      <vt:lpstr>econ_param_scenarios</vt:lpstr>
      <vt:lpstr>i_bond</vt:lpstr>
      <vt:lpstr>int_crowdout</vt:lpstr>
      <vt:lpstr>lambda_eq_0</vt:lpstr>
      <vt:lpstr>lambda_eq_1</vt:lpstr>
      <vt:lpstr>lambda_eq_1co</vt:lpstr>
      <vt:lpstr>lambda_eq_B</vt:lpstr>
      <vt:lpstr>lambda_ip_0</vt:lpstr>
      <vt:lpstr>lambda_ip_1</vt:lpstr>
      <vt:lpstr>lambda_ip_1co</vt:lpstr>
      <vt:lpstr>lambda_ip_B</vt:lpstr>
      <vt:lpstr>lambda_rd_0</vt:lpstr>
      <vt:lpstr>lambda_rd_1</vt:lpstr>
      <vt:lpstr>lambda_rd_1co</vt:lpstr>
      <vt:lpstr>lambda_rd_B</vt:lpstr>
      <vt:lpstr>lambda_rr_0</vt:lpstr>
      <vt:lpstr>lambda_rr_1</vt:lpstr>
      <vt:lpstr>lambda_rr_1co</vt:lpstr>
      <vt:lpstr>lambda_rr_B</vt:lpstr>
      <vt:lpstr>lambda_st_0</vt:lpstr>
      <vt:lpstr>lambda_st_1</vt:lpstr>
      <vt:lpstr>lambda_st_1co</vt:lpstr>
      <vt:lpstr>lambda_st_B</vt:lpstr>
      <vt:lpstr>pct_debt</vt:lpstr>
      <vt:lpstr>pi</vt:lpstr>
      <vt:lpstr>policy_param_0</vt:lpstr>
      <vt:lpstr>policy_param_1</vt:lpstr>
      <vt:lpstr>policy_param_scenarios</vt:lpstr>
      <vt:lpstr>re_cred_0</vt:lpstr>
      <vt:lpstr>re_cred_1</vt:lpstr>
      <vt:lpstr>re_cred_B</vt:lpstr>
      <vt:lpstr>rho</vt:lpstr>
      <vt:lpstr>scenario</vt:lpstr>
      <vt:lpstr>sect_shift_0</vt:lpstr>
      <vt:lpstr>sect_shift_1</vt:lpstr>
      <vt:lpstr>sect_shift_B</vt:lpstr>
      <vt:lpstr>tau_c_0</vt:lpstr>
      <vt:lpstr>tau_c_1</vt:lpstr>
      <vt:lpstr>tau_c_B</vt:lpstr>
      <vt:lpstr>tau_p_0</vt:lpstr>
      <vt:lpstr>tau_p_1</vt:lpstr>
      <vt:lpstr>tau_p_B</vt:lpstr>
      <vt:lpstr>va_c</vt:lpstr>
      <vt:lpstr>va_g</vt:lpstr>
      <vt:lpstr>va_p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Powell</dc:creator>
  <cp:lastModifiedBy>Willie Powell</cp:lastModifiedBy>
  <dcterms:created xsi:type="dcterms:W3CDTF">2018-07-03T11:18:16Z</dcterms:created>
  <dcterms:modified xsi:type="dcterms:W3CDTF">2018-07-05T16:14:13Z</dcterms:modified>
</cp:coreProperties>
</file>