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es\Documents\Green Energy Policies\"/>
    </mc:Choice>
  </mc:AlternateContent>
  <bookViews>
    <workbookView xWindow="-18" yWindow="4338" windowWidth="19260" windowHeight="4380"/>
  </bookViews>
  <sheets>
    <sheet name="Tables" sheetId="1" r:id="rId1"/>
    <sheet name="Data" sheetId="2" r:id="rId2"/>
    <sheet name="Reliability" sheetId="3" r:id="rId3"/>
  </sheets>
  <calcPr calcId="152511"/>
</workbook>
</file>

<file path=xl/calcChain.xml><?xml version="1.0" encoding="utf-8"?>
<calcChain xmlns="http://schemas.openxmlformats.org/spreadsheetml/2006/main">
  <c r="B3" i="1" l="1"/>
  <c r="B5" i="1"/>
  <c r="N158" i="1"/>
  <c r="M158" i="1"/>
  <c r="L158" i="1"/>
  <c r="K158" i="1"/>
  <c r="J158" i="1"/>
  <c r="N157" i="1"/>
  <c r="M157" i="1"/>
  <c r="L157" i="1"/>
  <c r="K157" i="1"/>
  <c r="J157" i="1"/>
  <c r="M156" i="1"/>
  <c r="L156" i="1"/>
  <c r="K156" i="1"/>
  <c r="J156" i="1"/>
  <c r="N152" i="1"/>
  <c r="M152" i="1"/>
  <c r="L152" i="1"/>
  <c r="C14" i="1" l="1"/>
  <c r="B14" i="1"/>
  <c r="G35" i="2" l="1"/>
  <c r="F35" i="2"/>
  <c r="B34" i="1"/>
  <c r="C34" i="1"/>
  <c r="G26" i="2"/>
  <c r="G25" i="2"/>
  <c r="H17" i="3" l="1"/>
  <c r="C126" i="2"/>
  <c r="F90" i="1" l="1"/>
  <c r="E90" i="1"/>
  <c r="C90" i="1"/>
  <c r="B90" i="1"/>
  <c r="C106" i="1"/>
  <c r="C100" i="1"/>
  <c r="C98" i="1"/>
  <c r="C84" i="1" s="1"/>
  <c r="C96" i="1"/>
  <c r="B84" i="1" s="1"/>
  <c r="F85" i="1"/>
  <c r="B104" i="1" s="1"/>
  <c r="E85" i="1"/>
  <c r="B102" i="1" s="1"/>
  <c r="D85" i="1"/>
  <c r="B100" i="1" s="1"/>
  <c r="C85" i="1"/>
  <c r="B98" i="1" s="1"/>
  <c r="B85" i="1"/>
  <c r="B96" i="1" s="1"/>
  <c r="H85" i="1"/>
  <c r="B108" i="1" s="1"/>
  <c r="G85" i="1"/>
  <c r="B106" i="1" s="1"/>
  <c r="G33" i="1"/>
  <c r="G34" i="1"/>
  <c r="D64" i="1"/>
  <c r="C64" i="1"/>
  <c r="B64" i="1"/>
  <c r="D15" i="1"/>
  <c r="C15" i="1"/>
  <c r="B15" i="1"/>
  <c r="G38" i="1" l="1"/>
  <c r="D8" i="2"/>
  <c r="C8" i="2"/>
  <c r="C144" i="2" l="1"/>
  <c r="E144" i="2"/>
  <c r="D144" i="2"/>
  <c r="E138" i="2"/>
  <c r="E142" i="2" s="1"/>
  <c r="D138" i="2"/>
  <c r="D142" i="2" s="1"/>
  <c r="C138" i="2"/>
  <c r="C142" i="2" s="1"/>
  <c r="E126" i="2"/>
  <c r="E137" i="2" s="1"/>
  <c r="E141" i="2" s="1"/>
  <c r="D126" i="2"/>
  <c r="D137" i="2" s="1"/>
  <c r="D141" i="2" s="1"/>
  <c r="C137" i="2"/>
  <c r="C141" i="2" s="1"/>
  <c r="F84" i="1" l="1"/>
  <c r="I17" i="3" l="1"/>
  <c r="C4" i="1"/>
  <c r="B4" i="1" s="1"/>
  <c r="C3" i="1"/>
  <c r="F34" i="1" l="1"/>
  <c r="D16" i="2"/>
  <c r="E84" i="1" l="1"/>
  <c r="D84" i="1"/>
  <c r="D98" i="1"/>
  <c r="D96" i="1"/>
  <c r="D100" i="1"/>
  <c r="C102" i="1"/>
  <c r="D102" i="1" s="1"/>
  <c r="C104" i="1"/>
  <c r="D104" i="1" s="1"/>
  <c r="E104" i="1" s="1"/>
  <c r="D106" i="1"/>
  <c r="C108" i="1"/>
  <c r="D108" i="1" s="1"/>
  <c r="E108" i="1" s="1"/>
  <c r="C6" i="1"/>
  <c r="B6" i="1" s="1"/>
  <c r="B54" i="1" s="1"/>
  <c r="C5" i="1"/>
  <c r="F114" i="2"/>
  <c r="F112" i="2"/>
  <c r="F97" i="2"/>
  <c r="F100" i="2" s="1"/>
  <c r="F101" i="2" s="1"/>
  <c r="C130" i="1"/>
  <c r="B55" i="1" l="1"/>
  <c r="E102" i="1"/>
  <c r="I102" i="1"/>
  <c r="H102" i="1"/>
  <c r="F96" i="1"/>
  <c r="F97" i="1" s="1"/>
  <c r="E96" i="1"/>
  <c r="E97" i="1" s="1"/>
  <c r="G100" i="1"/>
  <c r="F100" i="1"/>
  <c r="E100" i="1"/>
  <c r="E101" i="1" s="1"/>
  <c r="D34" i="1"/>
  <c r="E34" i="1"/>
  <c r="F115" i="2"/>
  <c r="F116" i="2" s="1"/>
  <c r="E142" i="1" s="1"/>
  <c r="D107" i="1"/>
  <c r="D99" i="1"/>
  <c r="D109" i="1"/>
  <c r="D97" i="1"/>
  <c r="D101" i="1"/>
  <c r="E103" i="1"/>
  <c r="D105" i="1"/>
  <c r="D103" i="1"/>
  <c r="E105" i="1"/>
  <c r="E109" i="1"/>
  <c r="F104" i="1"/>
  <c r="F105" i="1" s="1"/>
  <c r="E98" i="1"/>
  <c r="E99" i="1" s="1"/>
  <c r="E106" i="1"/>
  <c r="F106" i="1"/>
  <c r="G106" i="1"/>
  <c r="F102" i="1"/>
  <c r="G102" i="1"/>
  <c r="I103" i="1" l="1"/>
  <c r="J97" i="1"/>
  <c r="B86" i="1" s="1"/>
  <c r="J105" i="1"/>
  <c r="J99" i="1"/>
  <c r="C86" i="1" s="1"/>
  <c r="J109" i="1"/>
  <c r="B33" i="1"/>
  <c r="H15" i="3" s="1"/>
  <c r="H103" i="1"/>
  <c r="G107" i="1"/>
  <c r="G103" i="1"/>
  <c r="G101" i="1"/>
  <c r="F107" i="1"/>
  <c r="E107" i="1"/>
  <c r="F103" i="1"/>
  <c r="F101" i="1"/>
  <c r="J101" i="1" s="1"/>
  <c r="F86" i="1" l="1"/>
  <c r="J107" i="1"/>
  <c r="J103" i="1"/>
  <c r="E86" i="1" s="1"/>
  <c r="D86" i="1"/>
  <c r="D90" i="1"/>
  <c r="B44" i="1"/>
  <c r="F33" i="1"/>
  <c r="E33" i="1"/>
  <c r="D33" i="1"/>
  <c r="G37" i="1" l="1"/>
  <c r="G32" i="1"/>
  <c r="G36" i="1" s="1"/>
  <c r="G119" i="1"/>
  <c r="G120" i="1" s="1"/>
  <c r="G121" i="1" s="1"/>
  <c r="D37" i="1"/>
  <c r="F37" i="1"/>
  <c r="E37" i="1"/>
  <c r="F32" i="1"/>
  <c r="D24" i="1"/>
  <c r="C24" i="1"/>
  <c r="B24" i="1"/>
  <c r="D14" i="1"/>
  <c r="C23" i="1"/>
  <c r="B23" i="1"/>
  <c r="B45" i="1"/>
  <c r="E16" i="2"/>
  <c r="C33" i="1" s="1"/>
  <c r="I15" i="3" s="1"/>
  <c r="E139" i="1" l="1"/>
  <c r="M155" i="1" s="1"/>
  <c r="C139" i="1"/>
  <c r="K155" i="1" s="1"/>
  <c r="B139" i="1"/>
  <c r="J155" i="1" s="1"/>
  <c r="D139" i="1"/>
  <c r="L155" i="1" s="1"/>
  <c r="G113" i="1"/>
  <c r="D17" i="1"/>
  <c r="D23" i="1"/>
  <c r="C126" i="1"/>
  <c r="F36" i="1"/>
  <c r="C127" i="1"/>
  <c r="B21" i="1"/>
  <c r="G50" i="1" s="1"/>
  <c r="C21" i="1"/>
  <c r="D21" i="1"/>
  <c r="C20" i="1"/>
  <c r="C26" i="1" s="1"/>
  <c r="G136" i="1" s="1"/>
  <c r="C17" i="1"/>
  <c r="B20" i="1"/>
  <c r="B17" i="1"/>
  <c r="D20" i="1"/>
  <c r="B18" i="1"/>
  <c r="C18" i="1"/>
  <c r="D18" i="1"/>
  <c r="K16" i="3"/>
  <c r="K18" i="3" s="1"/>
  <c r="J16" i="3"/>
  <c r="J18" i="3" s="1"/>
  <c r="I16" i="3"/>
  <c r="I18" i="3" s="1"/>
  <c r="H16" i="3"/>
  <c r="H18" i="3" s="1"/>
  <c r="G16" i="3"/>
  <c r="G18" i="3" s="1"/>
  <c r="F16" i="3"/>
  <c r="F18" i="3" s="1"/>
  <c r="D16" i="3"/>
  <c r="D18" i="3" s="1"/>
  <c r="E16" i="3"/>
  <c r="E18" i="3" s="1"/>
  <c r="C5" i="3"/>
  <c r="C7" i="3" s="1"/>
  <c r="C4" i="3"/>
  <c r="G137" i="1" l="1"/>
  <c r="G138" i="1" s="1"/>
  <c r="G139" i="1" s="1"/>
  <c r="D26" i="1"/>
  <c r="G115" i="1"/>
  <c r="G114" i="1"/>
  <c r="D27" i="1"/>
  <c r="G41" i="1" s="1"/>
  <c r="G51" i="1" s="1"/>
  <c r="G52" i="1" s="1"/>
  <c r="G53" i="1" s="1"/>
  <c r="G159" i="1" s="1"/>
  <c r="B27" i="1"/>
  <c r="B26" i="1"/>
  <c r="F137" i="1" s="1"/>
  <c r="C27" i="1"/>
  <c r="G40" i="1" s="1"/>
  <c r="F50" i="1"/>
  <c r="H20" i="3"/>
  <c r="H19" i="3"/>
  <c r="J20" i="3"/>
  <c r="J19" i="3"/>
  <c r="I20" i="3"/>
  <c r="I19" i="3"/>
  <c r="K20" i="3"/>
  <c r="K19" i="3"/>
  <c r="C6" i="3"/>
  <c r="C8" i="3" s="1"/>
  <c r="C9" i="3"/>
  <c r="D20" i="3"/>
  <c r="D19" i="3"/>
  <c r="G20" i="3"/>
  <c r="G19" i="3"/>
  <c r="E20" i="3"/>
  <c r="E19" i="3"/>
  <c r="F20" i="3"/>
  <c r="F19" i="3"/>
  <c r="G42" i="1" l="1"/>
  <c r="G43" i="1" s="1"/>
  <c r="G150" i="1" s="1"/>
  <c r="F40" i="1"/>
  <c r="F136" i="1"/>
  <c r="F138" i="1" s="1"/>
  <c r="F139" i="1" s="1"/>
  <c r="N155" i="1" s="1"/>
  <c r="I21" i="3"/>
  <c r="H21" i="3"/>
  <c r="K21" i="3"/>
  <c r="J21" i="3"/>
  <c r="D41" i="1"/>
  <c r="E41" i="1"/>
  <c r="F41" i="1"/>
  <c r="F21" i="3"/>
  <c r="E21" i="3"/>
  <c r="D21" i="3"/>
  <c r="G21" i="3"/>
  <c r="D22" i="3" l="1"/>
  <c r="E22" i="3"/>
  <c r="B120" i="1"/>
  <c r="H22" i="3"/>
  <c r="C120" i="1"/>
  <c r="I22" i="3"/>
  <c r="C59" i="1"/>
  <c r="C61" i="1" s="1"/>
  <c r="C67" i="1" s="1"/>
  <c r="G140" i="1" s="1"/>
  <c r="C62" i="1" l="1"/>
  <c r="D59" i="1"/>
  <c r="D61" i="1" s="1"/>
  <c r="D67" i="1" s="1"/>
  <c r="B59" i="1"/>
  <c r="B61" i="1" s="1"/>
  <c r="B67" i="1" s="1"/>
  <c r="B65" i="1"/>
  <c r="D65" i="1"/>
  <c r="B62" i="1" l="1"/>
  <c r="D62" i="1"/>
  <c r="C38" i="1"/>
  <c r="C142" i="1" l="1"/>
  <c r="C445" i="1"/>
  <c r="C437" i="1"/>
  <c r="C32" i="1" l="1"/>
  <c r="D63" i="2"/>
  <c r="D119" i="1"/>
  <c r="D120" i="1" s="1"/>
  <c r="F113" i="1"/>
  <c r="J231" i="2"/>
  <c r="I225" i="2"/>
  <c r="I228" i="2" s="1"/>
  <c r="I229" i="2" s="1"/>
  <c r="F211" i="2"/>
  <c r="G211" i="2"/>
  <c r="H211" i="2"/>
  <c r="F212" i="2"/>
  <c r="G212" i="2"/>
  <c r="H212" i="2"/>
  <c r="L218" i="2"/>
  <c r="N218" i="2"/>
  <c r="F213" i="2"/>
  <c r="G213" i="2"/>
  <c r="L219" i="2"/>
  <c r="N219" i="2"/>
  <c r="F214" i="2"/>
  <c r="G214" i="2"/>
  <c r="L220" i="2"/>
  <c r="N220" i="2"/>
  <c r="F215" i="2"/>
  <c r="G215" i="2"/>
  <c r="L221" i="2"/>
  <c r="N221" i="2"/>
  <c r="F216" i="2"/>
  <c r="G216" i="2"/>
  <c r="L222" i="2"/>
  <c r="N222" i="2"/>
  <c r="F217" i="2"/>
  <c r="G217" i="2"/>
  <c r="F218" i="2"/>
  <c r="G218" i="2"/>
  <c r="F219" i="2"/>
  <c r="G219" i="2"/>
  <c r="F220" i="2"/>
  <c r="G220" i="2"/>
  <c r="C221" i="2"/>
  <c r="F221" i="2" s="1"/>
  <c r="D221" i="2"/>
  <c r="G221" i="2" s="1"/>
  <c r="D230" i="2"/>
  <c r="H90" i="1"/>
  <c r="G90" i="1"/>
  <c r="H84" i="1"/>
  <c r="G84" i="1"/>
  <c r="C113" i="1" l="1"/>
  <c r="C36" i="1"/>
  <c r="C40" i="1" s="1"/>
  <c r="C119" i="1"/>
  <c r="C37" i="1"/>
  <c r="C41" i="1" s="1"/>
  <c r="E32" i="1"/>
  <c r="C65" i="1"/>
  <c r="G434" i="1"/>
  <c r="F38" i="1"/>
  <c r="F140" i="1" s="1"/>
  <c r="N156" i="1" s="1"/>
  <c r="F119" i="1"/>
  <c r="F120" i="1" s="1"/>
  <c r="D68" i="1"/>
  <c r="G73" i="1" s="1"/>
  <c r="G79" i="1" s="1"/>
  <c r="I226" i="2"/>
  <c r="I227" i="2" s="1"/>
  <c r="F222" i="2"/>
  <c r="G222" i="2"/>
  <c r="F115" i="1"/>
  <c r="F73" i="1" l="1"/>
  <c r="E73" i="1"/>
  <c r="D73" i="1"/>
  <c r="C73" i="1"/>
  <c r="E36" i="1"/>
  <c r="E40" i="1" s="1"/>
  <c r="C50" i="1"/>
  <c r="F121" i="1"/>
  <c r="C121" i="1"/>
  <c r="D121" i="1"/>
  <c r="C115" i="1"/>
  <c r="D32" i="1"/>
  <c r="C68" i="1"/>
  <c r="G72" i="1" s="1"/>
  <c r="G74" i="1" s="1"/>
  <c r="G151" i="1" s="1"/>
  <c r="B68" i="1"/>
  <c r="H86" i="1"/>
  <c r="F445" i="1"/>
  <c r="F437" i="1"/>
  <c r="E119" i="1"/>
  <c r="E120" i="1" s="1"/>
  <c r="E38" i="1"/>
  <c r="E140" i="1" s="1"/>
  <c r="G86" i="1"/>
  <c r="F78" i="1" l="1"/>
  <c r="G78" i="1"/>
  <c r="G80" i="1" s="1"/>
  <c r="G160" i="1" s="1"/>
  <c r="E50" i="1"/>
  <c r="E121" i="1"/>
  <c r="D36" i="1"/>
  <c r="D40" i="1" s="1"/>
  <c r="F114" i="1"/>
  <c r="C114" i="1"/>
  <c r="F72" i="1"/>
  <c r="C72" i="1"/>
  <c r="H87" i="1"/>
  <c r="C78" i="1"/>
  <c r="E437" i="1"/>
  <c r="E445" i="1"/>
  <c r="C87" i="1"/>
  <c r="B87" i="1"/>
  <c r="B89" i="1" s="1"/>
  <c r="G87" i="1"/>
  <c r="D50" i="1" l="1"/>
  <c r="F79" i="1"/>
  <c r="D79" i="1"/>
  <c r="E79" i="1"/>
  <c r="C79" i="1"/>
  <c r="C80" i="1" s="1"/>
  <c r="B91" i="1"/>
  <c r="C89" i="1"/>
  <c r="G89" i="1"/>
  <c r="H89" i="1"/>
  <c r="F74" i="1"/>
  <c r="C74" i="1"/>
  <c r="F442" i="1"/>
  <c r="B434" i="1"/>
  <c r="C434" i="1"/>
  <c r="F434" i="1"/>
  <c r="G435" i="1"/>
  <c r="G436" i="1" s="1"/>
  <c r="E51" i="1"/>
  <c r="E113" i="1"/>
  <c r="E87" i="1"/>
  <c r="D87" i="1"/>
  <c r="F87" i="1"/>
  <c r="D113" i="1"/>
  <c r="G437" i="1"/>
  <c r="F51" i="1"/>
  <c r="C51" i="1"/>
  <c r="D51" i="1"/>
  <c r="B141" i="1" l="1"/>
  <c r="C91" i="1"/>
  <c r="F151" i="1"/>
  <c r="N151" i="1" s="1"/>
  <c r="F80" i="1"/>
  <c r="C151" i="1"/>
  <c r="K151" i="1" s="1"/>
  <c r="C160" i="1"/>
  <c r="G91" i="1"/>
  <c r="G141" i="1" s="1"/>
  <c r="G143" i="1" s="1"/>
  <c r="H91" i="1"/>
  <c r="F89" i="1"/>
  <c r="E89" i="1"/>
  <c r="D89" i="1"/>
  <c r="D115" i="1"/>
  <c r="D114" i="1"/>
  <c r="E115" i="1"/>
  <c r="E114" i="1"/>
  <c r="C442" i="1"/>
  <c r="B442" i="1"/>
  <c r="G438" i="1"/>
  <c r="E52" i="1"/>
  <c r="E42" i="1"/>
  <c r="E72" i="1"/>
  <c r="E78" i="1"/>
  <c r="D52" i="1"/>
  <c r="D78" i="1"/>
  <c r="C42" i="1"/>
  <c r="C52" i="1"/>
  <c r="D72" i="1"/>
  <c r="F52" i="1"/>
  <c r="F42" i="1"/>
  <c r="D38" i="1"/>
  <c r="G163" i="1" l="1"/>
  <c r="G154" i="1"/>
  <c r="G144" i="1"/>
  <c r="C141" i="1"/>
  <c r="C143" i="1" s="1"/>
  <c r="E91" i="1"/>
  <c r="D91" i="1"/>
  <c r="F91" i="1"/>
  <c r="D80" i="1"/>
  <c r="D74" i="1"/>
  <c r="E74" i="1"/>
  <c r="F160" i="1"/>
  <c r="E80" i="1"/>
  <c r="E116" i="1"/>
  <c r="D116" i="1"/>
  <c r="F116" i="1"/>
  <c r="C116" i="1"/>
  <c r="G116" i="1"/>
  <c r="G122" i="1"/>
  <c r="D122" i="1"/>
  <c r="E122" i="1"/>
  <c r="C122" i="1"/>
  <c r="F122" i="1"/>
  <c r="E434" i="1"/>
  <c r="F43" i="1"/>
  <c r="E43" i="1"/>
  <c r="F53" i="1"/>
  <c r="C53" i="1"/>
  <c r="D53" i="1"/>
  <c r="E53" i="1"/>
  <c r="C43" i="1"/>
  <c r="D445" i="1"/>
  <c r="D437" i="1"/>
  <c r="E442" i="1"/>
  <c r="F435" i="1"/>
  <c r="F436" i="1" s="1"/>
  <c r="F438" i="1" s="1"/>
  <c r="D42" i="1"/>
  <c r="D434" i="1"/>
  <c r="F141" i="1" l="1"/>
  <c r="G117" i="1"/>
  <c r="F117" i="1"/>
  <c r="F125" i="1" s="1"/>
  <c r="C117" i="1"/>
  <c r="C125" i="1" s="1"/>
  <c r="D117" i="1"/>
  <c r="D125" i="1" s="1"/>
  <c r="G125" i="1"/>
  <c r="G161" i="1" s="1"/>
  <c r="G162" i="1" s="1"/>
  <c r="G164" i="1" s="1"/>
  <c r="E117" i="1"/>
  <c r="E125" i="1" s="1"/>
  <c r="E141" i="1"/>
  <c r="E143" i="1" s="1"/>
  <c r="E151" i="1"/>
  <c r="M151" i="1" s="1"/>
  <c r="D141" i="1"/>
  <c r="D143" i="1" s="1"/>
  <c r="C163" i="1"/>
  <c r="C154" i="1"/>
  <c r="K159" i="1" s="1"/>
  <c r="F143" i="1"/>
  <c r="E160" i="1"/>
  <c r="D159" i="1"/>
  <c r="F159" i="1"/>
  <c r="F150" i="1"/>
  <c r="N150" i="1" s="1"/>
  <c r="E159" i="1"/>
  <c r="C159" i="1"/>
  <c r="E150" i="1"/>
  <c r="M150" i="1" s="1"/>
  <c r="D151" i="1"/>
  <c r="L151" i="1" s="1"/>
  <c r="D160" i="1"/>
  <c r="C150" i="1"/>
  <c r="K150" i="1" s="1"/>
  <c r="E124" i="1"/>
  <c r="C124" i="1"/>
  <c r="F124" i="1"/>
  <c r="D124" i="1"/>
  <c r="G124" i="1"/>
  <c r="G152" i="1" s="1"/>
  <c r="G153" i="1" s="1"/>
  <c r="G155" i="1" s="1"/>
  <c r="D43" i="1"/>
  <c r="D442" i="1"/>
  <c r="F443" i="1"/>
  <c r="F444" i="1" s="1"/>
  <c r="F446" i="1" s="1"/>
  <c r="F163" i="1" l="1"/>
  <c r="F154" i="1"/>
  <c r="N159" i="1" s="1"/>
  <c r="D163" i="1"/>
  <c r="D154" i="1"/>
  <c r="L159" i="1" s="1"/>
  <c r="E163" i="1"/>
  <c r="E154" i="1"/>
  <c r="M159" i="1" s="1"/>
  <c r="C161" i="1"/>
  <c r="D152" i="1"/>
  <c r="C152" i="1"/>
  <c r="K152" i="1" s="1"/>
  <c r="F161" i="1"/>
  <c r="E161" i="1"/>
  <c r="F152" i="1"/>
  <c r="E152" i="1"/>
  <c r="D161" i="1"/>
  <c r="D150" i="1"/>
  <c r="L150" i="1" s="1"/>
  <c r="B435" i="1"/>
  <c r="B436" i="1" s="1"/>
  <c r="C435" i="1"/>
  <c r="C436" i="1" s="1"/>
  <c r="C438" i="1" s="1"/>
  <c r="B443" i="1"/>
  <c r="B444" i="1" s="1"/>
  <c r="C443" i="1"/>
  <c r="C444" i="1" s="1"/>
  <c r="C446" i="1" s="1"/>
  <c r="D153" i="1" l="1"/>
  <c r="L153" i="1" s="1"/>
  <c r="D162" i="1"/>
  <c r="E153" i="1"/>
  <c r="M153" i="1" s="1"/>
  <c r="F153" i="1"/>
  <c r="N153" i="1" s="1"/>
  <c r="E162" i="1"/>
  <c r="F162" i="1"/>
  <c r="C153" i="1"/>
  <c r="K153" i="1" s="1"/>
  <c r="C162" i="1"/>
  <c r="D435" i="1"/>
  <c r="D436" i="1" s="1"/>
  <c r="D438" i="1" s="1"/>
  <c r="E435" i="1"/>
  <c r="E436" i="1" s="1"/>
  <c r="E438" i="1" s="1"/>
  <c r="D443" i="1"/>
  <c r="D444" i="1" s="1"/>
  <c r="D446" i="1" s="1"/>
  <c r="E443" i="1"/>
  <c r="E444" i="1" s="1"/>
  <c r="E446" i="1" s="1"/>
  <c r="B38" i="1" l="1"/>
  <c r="B142" i="1" s="1"/>
  <c r="B143" i="1" l="1"/>
  <c r="B437" i="1"/>
  <c r="B438" i="1" s="1"/>
  <c r="B445" i="1"/>
  <c r="B446" i="1" s="1"/>
  <c r="B163" i="1" l="1"/>
  <c r="B154" i="1"/>
  <c r="J159" i="1" s="1"/>
  <c r="B32" i="1"/>
  <c r="B37" i="1"/>
  <c r="B119" i="1"/>
  <c r="B41" i="1" l="1"/>
  <c r="B51" i="1" s="1"/>
  <c r="B73" i="1"/>
  <c r="B36" i="1"/>
  <c r="B113" i="1"/>
  <c r="B79" i="1" l="1"/>
  <c r="B72" i="1"/>
  <c r="B74" i="1" s="1"/>
  <c r="B40" i="1"/>
  <c r="B42" i="1" s="1"/>
  <c r="B43" i="1" s="1"/>
  <c r="B114" i="1"/>
  <c r="B115" i="1"/>
  <c r="B117" i="1" s="1"/>
  <c r="B121" i="1"/>
  <c r="B50" i="1"/>
  <c r="B52" i="1" s="1"/>
  <c r="B78" i="1"/>
  <c r="B122" i="1" l="1"/>
  <c r="B116" i="1"/>
  <c r="B80" i="1"/>
  <c r="B151" i="1"/>
  <c r="J151" i="1" s="1"/>
  <c r="B53" i="1"/>
  <c r="B124" i="1" l="1"/>
  <c r="B125" i="1"/>
  <c r="B150" i="1"/>
  <c r="J150" i="1" s="1"/>
  <c r="B159" i="1"/>
  <c r="B160" i="1"/>
  <c r="B152" i="1" l="1"/>
  <c r="J152" i="1" s="1"/>
  <c r="B161" i="1"/>
  <c r="B153" i="1" l="1"/>
  <c r="J153" i="1" s="1"/>
  <c r="B162" i="1"/>
  <c r="D155" i="1" l="1"/>
  <c r="L160" i="1" s="1"/>
  <c r="F144" i="1"/>
  <c r="C144" i="1" l="1"/>
  <c r="E164" i="1"/>
  <c r="E155" i="1"/>
  <c r="M160" i="1" s="1"/>
  <c r="D144" i="1"/>
  <c r="D164" i="1"/>
  <c r="C164" i="1"/>
  <c r="B144" i="1"/>
  <c r="E144" i="1"/>
  <c r="C155" i="1" l="1"/>
  <c r="K160" i="1" s="1"/>
  <c r="F155" i="1"/>
  <c r="N160" i="1" s="1"/>
  <c r="F164" i="1"/>
  <c r="B164" i="1"/>
  <c r="B155" i="1"/>
  <c r="J160" i="1" s="1"/>
</calcChain>
</file>

<file path=xl/sharedStrings.xml><?xml version="1.0" encoding="utf-8"?>
<sst xmlns="http://schemas.openxmlformats.org/spreadsheetml/2006/main" count="519" uniqueCount="309">
  <si>
    <t>Coal</t>
  </si>
  <si>
    <t>Nuclear</t>
  </si>
  <si>
    <t>Hydro</t>
  </si>
  <si>
    <t>Wind</t>
  </si>
  <si>
    <t>Solar</t>
  </si>
  <si>
    <t>Gas CC</t>
  </si>
  <si>
    <t>N/A</t>
  </si>
  <si>
    <t>Gas SC</t>
  </si>
  <si>
    <t xml:space="preserve">  Expected Life</t>
  </si>
  <si>
    <t xml:space="preserve">  Old Plant</t>
  </si>
  <si>
    <t xml:space="preserve">  New Plant</t>
  </si>
  <si>
    <t>Heat Rate (btu/KWH)</t>
  </si>
  <si>
    <t>Natural Gas</t>
  </si>
  <si>
    <t>Renewable</t>
  </si>
  <si>
    <t>US GENERATION (THOUSAND gwh)</t>
  </si>
  <si>
    <t xml:space="preserve">  Wind</t>
  </si>
  <si>
    <t xml:space="preserve">  Solar</t>
  </si>
  <si>
    <t xml:space="preserve">  Wood</t>
  </si>
  <si>
    <t xml:space="preserve">  Other biomass</t>
  </si>
  <si>
    <t xml:space="preserve">  Geothermal</t>
  </si>
  <si>
    <t>Other</t>
  </si>
  <si>
    <t>TOTAL</t>
  </si>
  <si>
    <t>Capacity</t>
  </si>
  <si>
    <t>x*(1-x)</t>
  </si>
  <si>
    <t>(x*(1-x)/v)-1</t>
  </si>
  <si>
    <t>alpha</t>
  </si>
  <si>
    <t>beta</t>
  </si>
  <si>
    <t>On-Peak</t>
  </si>
  <si>
    <t xml:space="preserve">  MW per plant</t>
  </si>
  <si>
    <t xml:space="preserve">  Subsidy element of Price-Anderson Act per plant ($million)</t>
  </si>
  <si>
    <t xml:space="preserve">  Cost of Nuclear Disaster insurance per MW</t>
  </si>
  <si>
    <t xml:space="preserve">  Number of years before decommissioning and waste fuel disposal</t>
  </si>
  <si>
    <t xml:space="preserve">  Present Value of decommissioning and disposal cost per MW</t>
  </si>
  <si>
    <t>Gas Price</t>
  </si>
  <si>
    <t>Year</t>
  </si>
  <si>
    <t>Emissions</t>
  </si>
  <si>
    <t>Henry Hub</t>
  </si>
  <si>
    <t xml:space="preserve">Source: EIA, Electric Power Annual 2012, Table 9.1 </t>
  </si>
  <si>
    <t>Source: British Petroleum, Statistical Review of World Energy 2013, p.27</t>
  </si>
  <si>
    <t>Department of Energy and Climate Change, 2012 Greenhouse Gas Emissions, Provisional Figures, 28 March, 2013</t>
  </si>
  <si>
    <t>UK Emissions</t>
  </si>
  <si>
    <t>Power Sector</t>
  </si>
  <si>
    <t>Construction</t>
  </si>
  <si>
    <t>Time</t>
  </si>
  <si>
    <t>(Years)</t>
  </si>
  <si>
    <t>Capital</t>
  </si>
  <si>
    <t>Cost/kw</t>
  </si>
  <si>
    <t>Coal IDC</t>
  </si>
  <si>
    <t>Total</t>
  </si>
  <si>
    <t xml:space="preserve">  Total Capital Cost</t>
  </si>
  <si>
    <t>Insurance Costs</t>
  </si>
  <si>
    <t xml:space="preserve">  Average annual premium for $375 million coverage per reactor (2)</t>
  </si>
  <si>
    <t xml:space="preserve">  Annual premium per MW</t>
  </si>
  <si>
    <t xml:space="preserve">  Subsidy element per MW (3)</t>
  </si>
  <si>
    <t>TOTAL OTHER COSTS</t>
  </si>
  <si>
    <t>Gas</t>
  </si>
  <si>
    <t xml:space="preserve">  Off-Peak</t>
  </si>
  <si>
    <t xml:space="preserve">  On-Peak</t>
  </si>
  <si>
    <t xml:space="preserve">  Full Year</t>
  </si>
  <si>
    <t>per mmbtu</t>
  </si>
  <si>
    <t>TOTAL NET BENEFITS</t>
  </si>
  <si>
    <t>Weighted Average Cost of Capital</t>
  </si>
  <si>
    <t>KEY ASSUMPTIONS:</t>
  </si>
  <si>
    <t>Solar Capital Cost Reduction</t>
  </si>
  <si>
    <t>BASE LOAD</t>
  </si>
  <si>
    <t>PEAK LOAD</t>
  </si>
  <si>
    <t>Wind Capital Cost Reduction</t>
  </si>
  <si>
    <t>Wind Capacity Factor Increase</t>
  </si>
  <si>
    <t>Coal CCS</t>
  </si>
  <si>
    <t>Gas SC IDC</t>
  </si>
  <si>
    <t>Natural Gas Price Paid by US Electrical Utilities</t>
  </si>
  <si>
    <t xml:space="preserve">  Average 2012</t>
  </si>
  <si>
    <t>UK Heren NPB Index 2012</t>
  </si>
  <si>
    <t>German Import Price 2012</t>
  </si>
  <si>
    <t>Japan cif 2012</t>
  </si>
  <si>
    <t xml:space="preserve">British Petroleum (BP), Statistical Review of World Energy 2013, http://www.bp.com/statisticalreview   </t>
  </si>
  <si>
    <t xml:space="preserve">  Average 2013</t>
  </si>
  <si>
    <t>Energy Cost/MWH</t>
  </si>
  <si>
    <t>Average Coal Price 2013</t>
  </si>
  <si>
    <t>Net Energy Cost per  MW</t>
  </si>
  <si>
    <t>Net Capacity Cost per MW</t>
  </si>
  <si>
    <t>MWH per Year</t>
  </si>
  <si>
    <t>Electric Power Annual 2012, Tables 3.1A and 3.1B</t>
  </si>
  <si>
    <t>Estimated Coal Emissions '000 tons</t>
  </si>
  <si>
    <t>000 tons</t>
  </si>
  <si>
    <t>Estimated Reduction by Gas</t>
  </si>
  <si>
    <t>% Reduction</t>
  </si>
  <si>
    <t>Estimated Reduction by Wind or Solar</t>
  </si>
  <si>
    <t>Net Cost per KWH (cents)</t>
  </si>
  <si>
    <t>US Henry Hub 2012</t>
  </si>
  <si>
    <t>Average</t>
  </si>
  <si>
    <t>Capital Cost per KW</t>
  </si>
  <si>
    <t>Variable O&amp;M per KWH</t>
  </si>
  <si>
    <t>CO2 Equivalent Multiplier</t>
  </si>
  <si>
    <t>Source: U. S. Energy Information Administration, Monthly Energy Review, March 2014, Table 9.9</t>
  </si>
  <si>
    <t>Natural Gas Systems: Fugitive Emissions</t>
  </si>
  <si>
    <t>Coal Mining: Fugitive Emissions</t>
  </si>
  <si>
    <t>Japan</t>
  </si>
  <si>
    <t>CH4 Emissions (CO2 Equivalent) in Teragrams</t>
  </si>
  <si>
    <t>CH4 Emissions in Gigagrams</t>
  </si>
  <si>
    <t>CO2 Emissions in Teragrams</t>
  </si>
  <si>
    <t>CO2 Emissions in Gigagrams</t>
  </si>
  <si>
    <t>Year 1</t>
  </si>
  <si>
    <t>Wind CCDC</t>
  </si>
  <si>
    <t>CCDC</t>
  </si>
  <si>
    <t>Year 2</t>
  </si>
  <si>
    <t>Year 3</t>
  </si>
  <si>
    <t>Year 4</t>
  </si>
  <si>
    <t>Year 5</t>
  </si>
  <si>
    <t>Wind Cumulative Capital Expense</t>
  </si>
  <si>
    <t>Solar Cumulative Capital Expense</t>
  </si>
  <si>
    <t>Hydro Cumulative Capital Expense</t>
  </si>
  <si>
    <t>Nuclear Cumulative Capital Expense</t>
  </si>
  <si>
    <t>Gas CC Cumulative Capital Expense</t>
  </si>
  <si>
    <t>Solar CCDC</t>
  </si>
  <si>
    <t>Hydro CCDC</t>
  </si>
  <si>
    <t>Nuclear CCDC</t>
  </si>
  <si>
    <t>Gas CC CCDC</t>
  </si>
  <si>
    <t>Fuel Price/mmmbtu</t>
  </si>
  <si>
    <t>Variable O&amp;M per MWH</t>
  </si>
  <si>
    <t xml:space="preserve">  "Overnight" Capital Cost per KW</t>
  </si>
  <si>
    <t xml:space="preserve">  Cost of Capital during Construction</t>
  </si>
  <si>
    <t>Cost of Carbon per ton of CO2</t>
  </si>
  <si>
    <t>Fuel Cost/MWH</t>
  </si>
  <si>
    <t>TABLE 12: NET COST PER MWH OF REPLACING BASE LOAD COAL</t>
  </si>
  <si>
    <t>Total Net Cost/MW/Year</t>
  </si>
  <si>
    <t>TABLE 13: NET COST/MWH OF REPLACING BASE LOAD GAS CC</t>
  </si>
  <si>
    <t>Net Energy Cost/MW</t>
  </si>
  <si>
    <t>Net Capacity Cost/MW</t>
  </si>
  <si>
    <t>Coal Cost</t>
  </si>
  <si>
    <t>Gross</t>
  </si>
  <si>
    <t>Avoided Emissions/Year/MW (tons)</t>
  </si>
  <si>
    <t>Capacity Factor</t>
  </si>
  <si>
    <t>TOTAL ANNUAL CAPACITY COST</t>
  </si>
  <si>
    <t>Emissions Costs</t>
  </si>
  <si>
    <t>Energy Costs</t>
  </si>
  <si>
    <t>Capacity Costs</t>
  </si>
  <si>
    <t>TOTAL COSTS</t>
  </si>
  <si>
    <t>TOTAL BENEFITS</t>
  </si>
  <si>
    <t xml:space="preserve">  Coal Capacity Replaced</t>
  </si>
  <si>
    <t xml:space="preserve">  Gas CC Capacity Replaced</t>
  </si>
  <si>
    <t xml:space="preserve">Reliability Standard: Loss of Load Probability = one day in ten years </t>
  </si>
  <si>
    <t>Days in 10 Years</t>
  </si>
  <si>
    <t>Hours in 10 years</t>
  </si>
  <si>
    <t>Peak-hours in 10 years</t>
  </si>
  <si>
    <t>Proability of Loss of Load During Peak =</t>
  </si>
  <si>
    <t>Probability No Loss of Load During Peak =</t>
  </si>
  <si>
    <t>Existing</t>
  </si>
  <si>
    <t>Turbine</t>
  </si>
  <si>
    <t>Mean (x)</t>
  </si>
  <si>
    <t>Variance (v)</t>
  </si>
  <si>
    <t>ACF</t>
  </si>
  <si>
    <t>Nuclear Energy Institute</t>
  </si>
  <si>
    <t>UNITED STATES DATA</t>
  </si>
  <si>
    <t xml:space="preserve">  Coal Capacity Cost Avoided (3)</t>
  </si>
  <si>
    <t xml:space="preserve">  Gas CC Capacity Cost Avoided (4)</t>
  </si>
  <si>
    <t xml:space="preserve">  Gas SC Capacity Cost Avoided (6)</t>
  </si>
  <si>
    <t>TOTAL CAPACITY COST AVOIDED (7)</t>
  </si>
  <si>
    <t>(7) Assuming Peaking Capacity is 33% of Total Capacity</t>
  </si>
  <si>
    <t>Other Costs (1)</t>
  </si>
  <si>
    <t xml:space="preserve">  Ratio Coal Capacity Replaced (MW) (1)</t>
  </si>
  <si>
    <t xml:space="preserve">  Ratio Gas CC Capacity Replaced (MW) (2)</t>
  </si>
  <si>
    <t xml:space="preserve">  Ratio Gas SC Capacity Replaced (MW) (5)</t>
  </si>
  <si>
    <t>United States Energy Information Administration</t>
  </si>
  <si>
    <t>Updated Capital Cost Estimates for Utility Scale Electricity Generating Plants</t>
  </si>
  <si>
    <t>NEW PLANT DATA</t>
  </si>
  <si>
    <t>OLD PLANT DATA</t>
  </si>
  <si>
    <t>Variable O&amp;M per KWH*</t>
  </si>
  <si>
    <t>United States Energy Information Administration, April 2013,</t>
  </si>
  <si>
    <t>Table 1 p.6</t>
  </si>
  <si>
    <t>Table 2-5, p. 2-10</t>
  </si>
  <si>
    <t>Efficiency*</t>
  </si>
  <si>
    <t>*100% Efficiency (btu/KWH)</t>
  </si>
  <si>
    <t>*Estimate for coal based on ratio between fixed and variable O&amp;M for gas.</t>
  </si>
  <si>
    <t>On-Peak Hours</t>
  </si>
  <si>
    <t xml:space="preserve">  On-Peak*</t>
  </si>
  <si>
    <t>Value Avoided Emissions **</t>
  </si>
  <si>
    <t>**Value per metric ton =</t>
  </si>
  <si>
    <t>*On-Peak Hours</t>
  </si>
  <si>
    <t>Emissions CO2 (lbs) per mmbtu</t>
  </si>
  <si>
    <t>Difference between On-Peak and Average Capacity Factors</t>
  </si>
  <si>
    <t>Lawrence Berkeley National Laboratory for the United States Department of Energy</t>
  </si>
  <si>
    <t>Japanese Data for 2007</t>
  </si>
  <si>
    <t>(1) Off-Peak Capacity Factor of Old Coal Plant</t>
  </si>
  <si>
    <t xml:space="preserve">(1)Balancing and cycling costs for wind and solar </t>
  </si>
  <si>
    <t>(5) On-Peak Adjusted Capacity Factor of Old Gas SC Plant</t>
  </si>
  <si>
    <t>Jay Apt and Pauline Jaramillo, Variable Renewable Energy and the Electricity Grid, RFF Press, 2014.</t>
  </si>
  <si>
    <t>Average Balacing and Cycling Costs per MWH for Wind</t>
  </si>
  <si>
    <t>Average Balacing and Cycling Costs per MWH for Solar</t>
  </si>
  <si>
    <t>Chapters 2 and 7, Figures 2.4 and 7.1</t>
  </si>
  <si>
    <t>Chapter 2, Table 2.1</t>
  </si>
  <si>
    <t>Decommissioning Nuclear Power Plants, July 10, 2013</t>
  </si>
  <si>
    <t>http://www.nrc.gov/reading-rm/doc-collections/fact-sheets/decommissioning.html</t>
  </si>
  <si>
    <t>http://www.nei.org/Knowledge-Center/Nuclear-Statistics/Costs-Fuel,-Operation,-Waste-Disposal-Life-Cycle</t>
  </si>
  <si>
    <t>Costs: Fuel, Operation, Waste Disposal, and Life Cycle 2013</t>
  </si>
  <si>
    <t xml:space="preserve"> Decommissioning  Cost per Plant ($million)</t>
  </si>
  <si>
    <t>Min</t>
  </si>
  <si>
    <t>Max</t>
  </si>
  <si>
    <t>Fuel Disposal</t>
  </si>
  <si>
    <t>Assumptions</t>
  </si>
  <si>
    <t>Fact Sheet on Nuclear Insurance and Disaster Relief Funds, March 29, 2012</t>
  </si>
  <si>
    <t xml:space="preserve"> and decommissioning, fuel disposal and insurance costs for nuclear.</t>
  </si>
  <si>
    <t>United States Nuclear Regulatory Commission</t>
  </si>
  <si>
    <t>COST PER MWH</t>
  </si>
  <si>
    <t>Average Coal Price 2014</t>
  </si>
  <si>
    <t>paid at electric generating plants</t>
  </si>
  <si>
    <t>Natural gas price per mmbtu</t>
  </si>
  <si>
    <t>Coal price per mmbtu</t>
  </si>
  <si>
    <t>JAPANESE DATA 2007</t>
  </si>
  <si>
    <t>25% reduction from that of Japan</t>
  </si>
  <si>
    <t>CAPACITY FACTORS</t>
  </si>
  <si>
    <t>thousand</t>
  </si>
  <si>
    <t>kilo</t>
  </si>
  <si>
    <t>10^3</t>
  </si>
  <si>
    <t>million</t>
  </si>
  <si>
    <t>mega</t>
  </si>
  <si>
    <t>10^6</t>
  </si>
  <si>
    <t>trillion</t>
  </si>
  <si>
    <t>giga</t>
  </si>
  <si>
    <t>10^9</t>
  </si>
  <si>
    <t>quadrillion</t>
  </si>
  <si>
    <t>tera</t>
  </si>
  <si>
    <t>10^12</t>
  </si>
  <si>
    <t>Natural Gas Production (Quadrillon btu)</t>
  </si>
  <si>
    <t>Coal Production (Quadrillion btu)</t>
  </si>
  <si>
    <t>CO2 Emissions: Pounds  per MWH</t>
  </si>
  <si>
    <t>CH4 + CO2 Emissions (CO2 Equivalent) in Teragrams</t>
  </si>
  <si>
    <t xml:space="preserve">  Gas</t>
  </si>
  <si>
    <t xml:space="preserve">  Coal</t>
  </si>
  <si>
    <t>CO2 Equivalent Fugitive Emissions (Pounds) per mmbtu Produced</t>
  </si>
  <si>
    <t>CO2 Equivalent Fugitive Emissions (kilograms) per mmbtu Produced</t>
  </si>
  <si>
    <t>TABLE1: CO2 EMISSIONS PER MWH: FOSSIL FUEL PLANTS</t>
  </si>
  <si>
    <t>TABLE 2A: AVOIDED EMISSIONS/MW/YEAR REPLACING COAL OFF-PEAK &amp; GAS SC ON-PEAK</t>
  </si>
  <si>
    <t>TABLE 2B. AVOIDED EMISSIONS/MW/YEAR DISPLACING GAS CC  OFF-PEAK &amp; GAS SC ON-PEAK</t>
  </si>
  <si>
    <t>TABLE 3: ENERGY COST PER MWH</t>
  </si>
  <si>
    <t>Fugitive Emissions (CO2 eq.): Pounds per MWH</t>
  </si>
  <si>
    <t>Total CO2 Equivalent Emissions: Pounds per MWH</t>
  </si>
  <si>
    <t>(3) Ratio Coal Capacity Replaced to Total Coal Capacity Cost from Table 5</t>
  </si>
  <si>
    <t>(4) Ratio Gas CC Capacity Replaced to Total Gas CC Capacity Cost from Table 5</t>
  </si>
  <si>
    <t>(6) Ratio Gas SC Capacity Replaced to Total Gas SC Capacity Cost from Table 5</t>
  </si>
  <si>
    <t>Benefits:</t>
  </si>
  <si>
    <t xml:space="preserve">  Avoided Emissions</t>
  </si>
  <si>
    <t xml:space="preserve">  Avoided Energy Costs</t>
  </si>
  <si>
    <t xml:space="preserve">  Avoided Capacity Costs</t>
  </si>
  <si>
    <t>Emissions/Year/MW (tons)</t>
  </si>
  <si>
    <t>MWH/MW-Year</t>
  </si>
  <si>
    <t>Avoided Emissions/MW-Year (tons)</t>
  </si>
  <si>
    <t>Capacity Factors On-Peak</t>
  </si>
  <si>
    <t>Average Capacity Factors</t>
  </si>
  <si>
    <t>United States Energy Information Administration, June 2016,</t>
  </si>
  <si>
    <t>Cost and Performance Characteristics of New Generating Technologies, Table 8.2</t>
  </si>
  <si>
    <t>Fixed O&amp;M per KW-Year</t>
  </si>
  <si>
    <t>Electric Power Annual 2014, February 2016, Table 8.2</t>
  </si>
  <si>
    <t>2014 Heat Rate (btu/KWH)</t>
  </si>
  <si>
    <t>TABLE 4A: AVOIDED ENERGY COST/MW-YEAR DISPLACING COAL OFF-PEAK</t>
  </si>
  <si>
    <t>TABLE 4B: AVOIDED ENERGY COST/MW-YEAR DISPLACING GAS CC OFF-PEAK</t>
  </si>
  <si>
    <t xml:space="preserve">  Off-Peak Capacity Factor</t>
  </si>
  <si>
    <t xml:space="preserve">  On-Peak Capacity Factor</t>
  </si>
  <si>
    <t xml:space="preserve">  Adjusted Capacity Factor</t>
  </si>
  <si>
    <t>Construction Period (Years)</t>
  </si>
  <si>
    <t xml:space="preserve">  Construction Period (Years)</t>
  </si>
  <si>
    <t>Year 6</t>
  </si>
  <si>
    <t>(1) Off-Peak Capacity Factor of Old Gas CC Plant</t>
  </si>
  <si>
    <t>FUEL PRICE DATA</t>
  </si>
  <si>
    <t>RENEWABLE INTEGRATION COST</t>
  </si>
  <si>
    <t>FUGITIVE EMISSIONS DATA</t>
  </si>
  <si>
    <t>NUCLEAR PLANT DATA</t>
  </si>
  <si>
    <t xml:space="preserve">Electric Power Monthly August 2016, Table 6.7.B </t>
  </si>
  <si>
    <t xml:space="preserve"> </t>
  </si>
  <si>
    <t>TABLE 5: CAPACITY COST PER MW-YEAR</t>
  </si>
  <si>
    <t>TABLE 6: AVOIDED CAPACITY COST/MW-YEAR</t>
  </si>
  <si>
    <t>TABLE 7: COSTS PER MW-YEAR: NEW LOW-CARBON ELECTRICITY PLANTS</t>
  </si>
  <si>
    <t>U. S. Energy Information Administration, Monthly Energy Review, August 2016, Table 9.9</t>
  </si>
  <si>
    <t>Average Natural Gas Price 2015</t>
  </si>
  <si>
    <t>Environment Protection Agency, Inventory of US Greenhouse Gas Emissions and Sinks: 1990-2014, April 15, 2016</t>
  </si>
  <si>
    <t>EIA Monthly Energy Review, August 2016, Table 1.2</t>
  </si>
  <si>
    <t>Table 3-1.</t>
  </si>
  <si>
    <t>Table 3-2.</t>
  </si>
  <si>
    <t>TABLE 8A: NET BENEFITS PER MW-YEAR: REPLACING COAL OFF-PEAK AND SC GAS ON-PEAK</t>
  </si>
  <si>
    <t>TABLE 8B: NET BENEFITS PER MW-YEAR: REPLACING GAS CC OFF PEAK AND GAS SC ON-PEAK</t>
  </si>
  <si>
    <t>SC Ratio</t>
  </si>
  <si>
    <t>Utility-Scale Solar 2015, August 2016, p.25</t>
  </si>
  <si>
    <t>2015 Weighted Average Capacity Factor for 41 PV Solar Projects Completed 2014</t>
  </si>
  <si>
    <t>2015 Weighted Average Capacity Factor for 48 PV Solar Projects Completed 2013</t>
  </si>
  <si>
    <t>Utility-Scale Solar 2014, August 2015, p.24</t>
  </si>
  <si>
    <t>2015 Weighted Average Capacity Factor for 36 PV Solar Projects Completed 2012</t>
  </si>
  <si>
    <t>2014 Weighted Average Capacity Factor for 48 PV Solar Projects Completed 2013</t>
  </si>
  <si>
    <t>2014 Weighted Average Capacity Factor for 36 PV Solar Projects Completed 2012</t>
  </si>
  <si>
    <t>US Department of Energy</t>
  </si>
  <si>
    <t>Annual</t>
  </si>
  <si>
    <t>Difference</t>
  </si>
  <si>
    <t>MW</t>
  </si>
  <si>
    <t>2015 Weighted Average US Capacity Factor of Projects Built in 2014</t>
  </si>
  <si>
    <t xml:space="preserve">  Rest of Country</t>
  </si>
  <si>
    <t xml:space="preserve">  Interior US</t>
  </si>
  <si>
    <t>Wind Technology and Market Report 2015, August 2016, pp. 42 and 48</t>
  </si>
  <si>
    <t xml:space="preserve">  Capital Cost per MW-Year</t>
  </si>
  <si>
    <t xml:space="preserve">  Fixed O &amp; M per MW-Year</t>
  </si>
  <si>
    <t>*Gas CC Heat Rate Assumed</t>
  </si>
  <si>
    <t>Heat Rate (btu/KWH)*</t>
  </si>
  <si>
    <t>Construction Period (Years)**</t>
  </si>
  <si>
    <t>**Assumption</t>
  </si>
  <si>
    <t>*Heat Rate Assumed</t>
  </si>
  <si>
    <t>NET BENEFITS PER MW-YEAR</t>
  </si>
  <si>
    <t>Costs:</t>
  </si>
  <si>
    <t xml:space="preserve">  CO2 Emissions Costs</t>
  </si>
  <si>
    <t xml:space="preserve">  Energy Costs</t>
  </si>
  <si>
    <t xml:space="preserve">  Capacity Costs</t>
  </si>
  <si>
    <t xml:space="preserve">  Other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</si>
</sst>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0.0%"/>
    <numFmt numFmtId="165" formatCode="#,##0.0"/>
    <numFmt numFmtId="166" formatCode="#,##0.0_);\(#,##0.0\)"/>
    <numFmt numFmtId="167" formatCode="#,##0.000"/>
    <numFmt numFmtId="168" formatCode="0_);\(0\)"/>
    <numFmt numFmtId="169" formatCode="0.000000"/>
    <numFmt numFmtId="170" formatCode="0.000"/>
    <numFmt numFmtId="171" formatCode="#,##0.000_);\(#,##0.000\)"/>
    <numFmt numFmtId="172" formatCode="0.000_);\(0.000\)"/>
    <numFmt numFmtId="173" formatCode="&quot;$&quot;#,##0.0_);\(&quot;$&quot;#,##0.0\)"/>
    <numFmt numFmtId="174" formatCode="0.0_);\(0.0\)"/>
    <numFmt numFmtId="175" formatCode="0.0"/>
    <numFmt numFmtId="176" formatCode="&quot;$&quot;#,##0"/>
    <numFmt numFmtId="177" formatCode="0.0000%"/>
    <numFmt numFmtId="178" formatCode="0.00000"/>
    <numFmt numFmtId="179" formatCode="&quot;$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charset val="128"/>
      <scheme val="minor"/>
    </font>
    <font>
      <u/>
      <sz val="11"/>
      <color theme="1"/>
      <name val="Calibri"/>
      <family val="2"/>
      <scheme val="minor"/>
    </font>
    <font>
      <sz val="12"/>
      <name val="Arial Narrow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</cellStyleXfs>
  <cellXfs count="12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7" fontId="0" fillId="0" borderId="0" xfId="0" applyNumberFormat="1"/>
    <xf numFmtId="5" fontId="0" fillId="0" borderId="0" xfId="0" applyNumberFormat="1"/>
    <xf numFmtId="6" fontId="0" fillId="0" borderId="0" xfId="0" applyNumberFormat="1"/>
    <xf numFmtId="0" fontId="1" fillId="0" borderId="0" xfId="0" applyFont="1"/>
    <xf numFmtId="3" fontId="0" fillId="0" borderId="0" xfId="0" applyNumberFormat="1"/>
    <xf numFmtId="166" fontId="0" fillId="0" borderId="0" xfId="0" applyNumberFormat="1" applyAlignment="1">
      <alignment horizontal="right"/>
    </xf>
    <xf numFmtId="37" fontId="0" fillId="0" borderId="0" xfId="0" applyNumberFormat="1" applyAlignment="1">
      <alignment horizontal="right"/>
    </xf>
    <xf numFmtId="37" fontId="0" fillId="0" borderId="0" xfId="0" applyNumberFormat="1"/>
    <xf numFmtId="0" fontId="0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167" fontId="0" fillId="0" borderId="0" xfId="0" applyNumberFormat="1"/>
    <xf numFmtId="3" fontId="0" fillId="0" borderId="0" xfId="0" applyNumberFormat="1" applyAlignment="1">
      <alignment horizontal="center"/>
    </xf>
    <xf numFmtId="168" fontId="0" fillId="0" borderId="0" xfId="0" applyNumberFormat="1"/>
    <xf numFmtId="10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173" fontId="0" fillId="0" borderId="0" xfId="0" applyNumberFormat="1"/>
    <xf numFmtId="2" fontId="2" fillId="0" borderId="0" xfId="0" applyNumberFormat="1" applyFont="1"/>
    <xf numFmtId="2" fontId="2" fillId="0" borderId="0" xfId="0" applyNumberFormat="1" applyFont="1" applyFill="1" applyBorder="1"/>
    <xf numFmtId="174" fontId="0" fillId="0" borderId="0" xfId="0" applyNumberFormat="1"/>
    <xf numFmtId="39" fontId="0" fillId="0" borderId="0" xfId="0" applyNumberFormat="1"/>
    <xf numFmtId="7" fontId="0" fillId="0" borderId="0" xfId="0" applyNumberFormat="1" applyAlignment="1">
      <alignment horizontal="right"/>
    </xf>
    <xf numFmtId="175" fontId="0" fillId="0" borderId="0" xfId="0" applyNumberFormat="1"/>
    <xf numFmtId="8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37" fontId="0" fillId="0" borderId="0" xfId="0" applyNumberFormat="1" applyAlignment="1">
      <alignment horizontal="center"/>
    </xf>
    <xf numFmtId="8" fontId="0" fillId="0" borderId="0" xfId="0" applyNumberFormat="1"/>
    <xf numFmtId="6" fontId="0" fillId="0" borderId="0" xfId="0" applyNumberFormat="1" applyAlignment="1">
      <alignment horizontal="right"/>
    </xf>
    <xf numFmtId="0" fontId="0" fillId="0" borderId="0" xfId="0" applyFont="1" applyAlignment="1">
      <alignment horizontal="center"/>
    </xf>
    <xf numFmtId="164" fontId="0" fillId="0" borderId="0" xfId="0" applyNumberFormat="1" applyFont="1"/>
    <xf numFmtId="166" fontId="0" fillId="0" borderId="0" xfId="0" applyNumberFormat="1" applyFont="1"/>
    <xf numFmtId="0" fontId="0" fillId="0" borderId="0" xfId="0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4" fillId="0" borderId="0" xfId="1" applyAlignment="1" applyProtection="1"/>
    <xf numFmtId="5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quotePrefix="1" applyAlignment="1">
      <alignment horizontal="center"/>
    </xf>
    <xf numFmtId="9" fontId="0" fillId="0" borderId="0" xfId="0" applyNumberFormat="1"/>
    <xf numFmtId="164" fontId="0" fillId="0" borderId="0" xfId="0" applyNumberFormat="1" applyAlignment="1">
      <alignment horizontal="center"/>
    </xf>
    <xf numFmtId="176" fontId="0" fillId="0" borderId="0" xfId="0" applyNumberFormat="1"/>
    <xf numFmtId="37" fontId="0" fillId="0" borderId="0" xfId="0" applyNumberFormat="1" applyFill="1"/>
    <xf numFmtId="7" fontId="0" fillId="0" borderId="0" xfId="0" applyNumberFormat="1" applyFill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177" fontId="0" fillId="0" borderId="0" xfId="0" applyNumberFormat="1"/>
    <xf numFmtId="178" fontId="0" fillId="0" borderId="0" xfId="0" applyNumberFormat="1"/>
    <xf numFmtId="0" fontId="5" fillId="0" borderId="0" xfId="2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2" applyFill="1" applyBorder="1" applyAlignment="1">
      <alignment horizontal="right" vertical="center"/>
    </xf>
    <xf numFmtId="169" fontId="5" fillId="0" borderId="0" xfId="2" applyNumberFormat="1" applyFill="1" applyAlignment="1"/>
    <xf numFmtId="169" fontId="0" fillId="0" borderId="0" xfId="0" applyNumberFormat="1" applyFill="1" applyAlignment="1"/>
    <xf numFmtId="0" fontId="5" fillId="0" borderId="0" xfId="2" applyFill="1" applyAlignment="1">
      <alignment horizontal="right"/>
    </xf>
    <xf numFmtId="169" fontId="5" fillId="0" borderId="0" xfId="2" applyNumberFormat="1" applyFill="1" applyBorder="1">
      <alignment vertical="center"/>
    </xf>
    <xf numFmtId="0" fontId="5" fillId="0" borderId="0" xfId="2" applyFill="1" applyBorder="1">
      <alignment vertical="center"/>
    </xf>
    <xf numFmtId="7" fontId="0" fillId="0" borderId="0" xfId="0" applyNumberFormat="1" applyFill="1" applyAlignment="1">
      <alignment horizontal="center"/>
    </xf>
    <xf numFmtId="179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  <xf numFmtId="0" fontId="6" fillId="0" borderId="0" xfId="0" applyFont="1"/>
    <xf numFmtId="37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7" fontId="1" fillId="0" borderId="0" xfId="0" applyNumberFormat="1" applyFont="1"/>
    <xf numFmtId="0" fontId="0" fillId="0" borderId="0" xfId="0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 applyAlignment="1"/>
    <xf numFmtId="0" fontId="1" fillId="0" borderId="0" xfId="0" applyFont="1" applyAlignment="1"/>
    <xf numFmtId="5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/>
    <xf numFmtId="0" fontId="0" fillId="0" borderId="0" xfId="0" applyAlignment="1">
      <alignment horizontal="center"/>
    </xf>
    <xf numFmtId="5" fontId="0" fillId="0" borderId="0" xfId="0" applyNumberFormat="1" applyAlignment="1">
      <alignment horizontal="center"/>
    </xf>
    <xf numFmtId="176" fontId="0" fillId="0" borderId="0" xfId="0" applyNumberFormat="1" applyProtection="1">
      <protection locked="0"/>
    </xf>
    <xf numFmtId="5" fontId="0" fillId="0" borderId="0" xfId="0" applyNumberFormat="1" applyAlignment="1">
      <alignment horizontal="center"/>
    </xf>
    <xf numFmtId="165" fontId="0" fillId="0" borderId="0" xfId="0" quotePrefix="1" applyNumberFormat="1"/>
    <xf numFmtId="166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horizontal="center"/>
    </xf>
    <xf numFmtId="5" fontId="0" fillId="0" borderId="0" xfId="0" applyNumberFormat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horizontal="center"/>
    </xf>
    <xf numFmtId="0" fontId="0" fillId="0" borderId="0" xfId="0" applyFont="1" applyAlignment="1">
      <alignment horizontal="right"/>
    </xf>
    <xf numFmtId="1" fontId="0" fillId="0" borderId="0" xfId="0" applyNumberFormat="1" applyFill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ill="1" applyAlignment="1">
      <alignment horizontal="center"/>
    </xf>
    <xf numFmtId="5" fontId="0" fillId="0" borderId="0" xfId="0" applyNumberFormat="1" applyFill="1"/>
    <xf numFmtId="0" fontId="8" fillId="0" borderId="0" xfId="0" applyFont="1"/>
    <xf numFmtId="0" fontId="0" fillId="0" borderId="0" xfId="0" applyFill="1" applyBorder="1" applyAlignment="1"/>
    <xf numFmtId="0" fontId="1" fillId="0" borderId="0" xfId="0" applyFont="1" applyAlignment="1">
      <alignment horizontal="left"/>
    </xf>
    <xf numFmtId="169" fontId="5" fillId="2" borderId="0" xfId="2" applyNumberFormat="1" applyFill="1" applyAlignment="1"/>
    <xf numFmtId="166" fontId="0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 applyAlignment="1"/>
    <xf numFmtId="5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3">
    <cellStyle name="Hyperlink" xfId="1" builtinId="8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14</xdr:row>
      <xdr:rowOff>0</xdr:rowOff>
    </xdr:from>
    <xdr:to>
      <xdr:col>15</xdr:col>
      <xdr:colOff>409575</xdr:colOff>
      <xdr:row>16</xdr:row>
      <xdr:rowOff>104775</xdr:rowOff>
    </xdr:to>
    <xdr:pic>
      <xdr:nvPicPr>
        <xdr:cNvPr id="2" name="Picture 1" descr="\hat{\alpha} = \bar{x} \left(\frac{\bar{x} (1 - \bar{x})}{\bar{v}} - 1 \right),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34200" y="7810500"/>
          <a:ext cx="18669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16</xdr:col>
      <xdr:colOff>209550</xdr:colOff>
      <xdr:row>20</xdr:row>
      <xdr:rowOff>104775</xdr:rowOff>
    </xdr:to>
    <xdr:pic>
      <xdr:nvPicPr>
        <xdr:cNvPr id="3" name="Picture 2" descr="\hat{\beta} = (1-\bar{x}) \left(\frac{\bar{x} (1 - \bar{x})}{\bar{v}} - 1 \right),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34200" y="8572500"/>
          <a:ext cx="2333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ei.org/Knowledge-Center/Nuclear-Statistics/Costs-Fuel,-Operation,-Waste-Disposal-Life-Cycle" TargetMode="External"/><Relationship Id="rId2" Type="http://schemas.openxmlformats.org/officeDocument/2006/relationships/hyperlink" Target="http://www.nrc.gov/reading-rm/doc-collections/fact-sheets/decommissioning.html" TargetMode="External"/><Relationship Id="rId1" Type="http://schemas.openxmlformats.org/officeDocument/2006/relationships/hyperlink" Target="http://www.bp.com/statisticalreview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nrc.gov/reading-rm/doc-collections/fact-sheets/decommissioning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46"/>
  <sheetViews>
    <sheetView tabSelected="1" workbookViewId="0">
      <pane ySplit="3456" topLeftCell="A147"/>
      <selection activeCell="D6" sqref="D6"/>
      <selection pane="bottomLeft" activeCell="A147" sqref="A147"/>
    </sheetView>
  </sheetViews>
  <sheetFormatPr defaultRowHeight="14.4"/>
  <cols>
    <col min="1" max="1" width="33.578125" customWidth="1"/>
    <col min="2" max="2" width="15.26171875" customWidth="1"/>
    <col min="3" max="3" width="11.83984375" customWidth="1"/>
    <col min="4" max="5" width="11.20703125" customWidth="1"/>
    <col min="6" max="7" width="11.7890625" customWidth="1"/>
    <col min="8" max="8" width="10.15625" customWidth="1"/>
    <col min="9" max="9" width="21.05078125" customWidth="1"/>
    <col min="10" max="10" width="10.68359375" customWidth="1"/>
    <col min="11" max="12" width="9.3125" bestFit="1" customWidth="1"/>
    <col min="13" max="13" width="9.3125" customWidth="1"/>
    <col min="14" max="14" width="9.62890625" bestFit="1" customWidth="1"/>
    <col min="15" max="16" width="10.578125" bestFit="1" customWidth="1"/>
    <col min="17" max="17" width="10.578125" customWidth="1"/>
    <col min="20" max="20" width="10.578125" bestFit="1" customWidth="1"/>
    <col min="21" max="21" width="12.578125" bestFit="1" customWidth="1"/>
    <col min="25" max="25" width="10.578125" bestFit="1" customWidth="1"/>
    <col min="31" max="31" width="12.578125" bestFit="1" customWidth="1"/>
  </cols>
  <sheetData>
    <row r="2" spans="1:22">
      <c r="A2" s="8" t="s">
        <v>62</v>
      </c>
      <c r="B2" s="62"/>
      <c r="C2" s="62"/>
    </row>
    <row r="3" spans="1:22">
      <c r="A3" t="s">
        <v>206</v>
      </c>
      <c r="B3" s="5">
        <f>C3</f>
        <v>3.22</v>
      </c>
      <c r="C3" s="5">
        <f>Data!C76</f>
        <v>3.22</v>
      </c>
    </row>
    <row r="4" spans="1:22">
      <c r="A4" t="s">
        <v>207</v>
      </c>
      <c r="B4" s="5">
        <f>C4</f>
        <v>2.2200000000000002</v>
      </c>
      <c r="C4" s="5">
        <f>Data!C77</f>
        <v>2.2200000000000002</v>
      </c>
      <c r="D4" s="5"/>
    </row>
    <row r="5" spans="1:22">
      <c r="A5" t="s">
        <v>122</v>
      </c>
      <c r="B5" s="5">
        <f>C5</f>
        <v>50</v>
      </c>
      <c r="C5" s="5">
        <f>Data!C104</f>
        <v>50</v>
      </c>
      <c r="D5" s="5"/>
    </row>
    <row r="6" spans="1:22">
      <c r="A6" t="s">
        <v>174</v>
      </c>
      <c r="B6" s="12">
        <f>C6</f>
        <v>800</v>
      </c>
      <c r="C6" s="12">
        <f>Data!C105</f>
        <v>800</v>
      </c>
      <c r="D6" s="5"/>
    </row>
    <row r="7" spans="1:22">
      <c r="A7" t="s">
        <v>61</v>
      </c>
      <c r="B7" s="2">
        <v>7.4999999999999997E-2</v>
      </c>
    </row>
    <row r="8" spans="1:22">
      <c r="A8" t="s">
        <v>66</v>
      </c>
      <c r="B8" s="2">
        <v>0</v>
      </c>
      <c r="V8" s="20"/>
    </row>
    <row r="9" spans="1:22">
      <c r="A9" t="s">
        <v>63</v>
      </c>
      <c r="B9" s="2">
        <v>0</v>
      </c>
    </row>
    <row r="10" spans="1:22">
      <c r="A10" t="s">
        <v>67</v>
      </c>
      <c r="B10" s="2">
        <v>0</v>
      </c>
    </row>
    <row r="12" spans="1:22">
      <c r="A12" s="122" t="s">
        <v>231</v>
      </c>
      <c r="B12" s="122"/>
      <c r="C12" s="122"/>
      <c r="D12" s="122"/>
    </row>
    <row r="13" spans="1:22">
      <c r="A13" t="s">
        <v>11</v>
      </c>
      <c r="B13" s="14" t="s">
        <v>5</v>
      </c>
      <c r="C13" s="14" t="s">
        <v>0</v>
      </c>
      <c r="D13" s="14" t="s">
        <v>7</v>
      </c>
      <c r="E13" s="92"/>
      <c r="F13" s="92"/>
      <c r="G13" s="92"/>
      <c r="H13" s="105"/>
    </row>
    <row r="14" spans="1:22">
      <c r="A14" t="s">
        <v>10</v>
      </c>
      <c r="B14" s="11">
        <f>Data!C46</f>
        <v>5800</v>
      </c>
      <c r="C14" s="11">
        <f>Data!C56</f>
        <v>7750</v>
      </c>
      <c r="D14" s="11">
        <f>Data!$H41</f>
        <v>9800</v>
      </c>
      <c r="E14" s="11"/>
      <c r="F14" s="11"/>
      <c r="G14" s="11"/>
      <c r="H14" s="11"/>
    </row>
    <row r="15" spans="1:22">
      <c r="A15" t="s">
        <v>9</v>
      </c>
      <c r="B15" s="11">
        <f>Data!C71</f>
        <v>7658</v>
      </c>
      <c r="C15" s="11">
        <f>Data!D71</f>
        <v>10080</v>
      </c>
      <c r="D15" s="11">
        <f>Data!E71</f>
        <v>11378</v>
      </c>
      <c r="E15" s="37"/>
      <c r="F15" s="37"/>
      <c r="G15" s="37"/>
      <c r="H15" s="37"/>
    </row>
    <row r="16" spans="1:22">
      <c r="A16" t="s">
        <v>171</v>
      </c>
    </row>
    <row r="17" spans="1:13">
      <c r="A17" t="s">
        <v>10</v>
      </c>
      <c r="B17" s="2">
        <f>B28/B$14</f>
        <v>0.58840517241379309</v>
      </c>
      <c r="C17" s="2">
        <f>B28/C14</f>
        <v>0.4403548387096774</v>
      </c>
      <c r="D17" s="2">
        <f>B28/D14</f>
        <v>0.34823979591836735</v>
      </c>
      <c r="E17" s="2"/>
      <c r="F17" s="2"/>
      <c r="G17" s="2"/>
      <c r="H17" s="2"/>
      <c r="M17" s="1"/>
    </row>
    <row r="18" spans="1:13">
      <c r="A18" s="13" t="s">
        <v>9</v>
      </c>
      <c r="B18" s="2">
        <f>B28/B15</f>
        <v>0.4456450770436145</v>
      </c>
      <c r="C18" s="2">
        <f>B28/C15</f>
        <v>0.33856646825396824</v>
      </c>
      <c r="D18" s="2">
        <f>B28/D15</f>
        <v>0.29994287220952714</v>
      </c>
      <c r="E18" s="37"/>
      <c r="F18" s="37"/>
      <c r="G18" s="37"/>
      <c r="H18" s="37"/>
      <c r="M18" s="21"/>
    </row>
    <row r="19" spans="1:13">
      <c r="A19" t="s">
        <v>225</v>
      </c>
      <c r="M19" s="1"/>
    </row>
    <row r="20" spans="1:13">
      <c r="A20" t="s">
        <v>10</v>
      </c>
      <c r="B20" s="10">
        <f>Data!$C$66*B14/1000</f>
        <v>678.6</v>
      </c>
      <c r="C20" s="10">
        <f>Data!$D$66*C14/1000</f>
        <v>1596.5</v>
      </c>
      <c r="D20" s="10">
        <f>Data!$C$66*D14/1000</f>
        <v>1146.5999999999999</v>
      </c>
      <c r="E20" s="92"/>
      <c r="F20" s="10"/>
      <c r="G20" s="10"/>
      <c r="H20" s="10"/>
    </row>
    <row r="21" spans="1:13">
      <c r="A21" s="13" t="s">
        <v>9</v>
      </c>
      <c r="B21" s="10">
        <f>Data!$C$66*B15/1000</f>
        <v>895.98599999999999</v>
      </c>
      <c r="C21" s="10">
        <f>Data!$D$66*C15/1000</f>
        <v>2076.48</v>
      </c>
      <c r="D21" s="10">
        <f>Data!$C$66*D15/1000</f>
        <v>1331.2260000000001</v>
      </c>
      <c r="E21" s="37"/>
      <c r="F21" s="37"/>
      <c r="G21" s="37"/>
      <c r="H21" s="37"/>
    </row>
    <row r="22" spans="1:13">
      <c r="A22" t="s">
        <v>235</v>
      </c>
      <c r="B22" s="10"/>
      <c r="C22" s="10"/>
      <c r="D22" s="10"/>
      <c r="E22" s="37"/>
      <c r="F22" s="37"/>
      <c r="G22" s="37"/>
      <c r="H22" s="37"/>
    </row>
    <row r="23" spans="1:13">
      <c r="A23" t="s">
        <v>10</v>
      </c>
      <c r="B23" s="10">
        <f>B14*Data!E$141/1000</f>
        <v>105.00376619463697</v>
      </c>
      <c r="C23" s="10">
        <f>C14*Data!E$142/1000</f>
        <v>56.816523710933652</v>
      </c>
      <c r="D23" s="10">
        <f>D14*Data!E141/1000</f>
        <v>177.42015667369694</v>
      </c>
      <c r="E23" s="37"/>
      <c r="F23" s="37"/>
      <c r="G23" s="37"/>
      <c r="H23" s="37"/>
    </row>
    <row r="24" spans="1:13">
      <c r="A24" s="13" t="s">
        <v>9</v>
      </c>
      <c r="B24" s="10">
        <f>B15*Data!E$141/1000</f>
        <v>138.64117957216033</v>
      </c>
      <c r="C24" s="10">
        <f>C15*Data!E$142/1000</f>
        <v>73.898136645962737</v>
      </c>
      <c r="D24" s="10">
        <f>D15*Data!E$141/1000</f>
        <v>205.98842271768606</v>
      </c>
      <c r="E24" s="37"/>
      <c r="F24" s="37"/>
      <c r="G24" s="37"/>
      <c r="H24" s="37"/>
    </row>
    <row r="25" spans="1:13">
      <c r="A25" t="s">
        <v>236</v>
      </c>
      <c r="B25" s="10"/>
      <c r="C25" s="10"/>
      <c r="D25" s="10"/>
      <c r="E25" s="37"/>
      <c r="F25" s="37"/>
      <c r="G25" s="37"/>
      <c r="H25" s="37"/>
    </row>
    <row r="26" spans="1:13">
      <c r="A26" t="s">
        <v>10</v>
      </c>
      <c r="B26" s="10">
        <f>B20+B23</f>
        <v>783.60376619463705</v>
      </c>
      <c r="C26" s="10">
        <f>C20+C23</f>
        <v>1653.3165237109336</v>
      </c>
      <c r="D26" s="10">
        <f t="shared" ref="D26:D27" si="0">D20+D23</f>
        <v>1324.0201566736969</v>
      </c>
      <c r="E26" s="37"/>
      <c r="F26" s="37"/>
      <c r="G26" s="37"/>
      <c r="H26" s="37"/>
    </row>
    <row r="27" spans="1:13">
      <c r="A27" s="13" t="s">
        <v>9</v>
      </c>
      <c r="B27" s="10">
        <f>B21+B24</f>
        <v>1034.6271795721602</v>
      </c>
      <c r="C27" s="10">
        <f>C21+C24</f>
        <v>2150.378136645963</v>
      </c>
      <c r="D27" s="10">
        <f t="shared" si="0"/>
        <v>1537.2144227176861</v>
      </c>
      <c r="E27" s="37"/>
      <c r="F27" s="37"/>
      <c r="G27" s="37"/>
      <c r="H27" s="37"/>
    </row>
    <row r="28" spans="1:13">
      <c r="A28" t="s">
        <v>172</v>
      </c>
      <c r="B28" s="15">
        <v>3412.75</v>
      </c>
      <c r="G28" s="15"/>
      <c r="H28" s="15"/>
    </row>
    <row r="30" spans="1:13">
      <c r="A30" s="122" t="s">
        <v>232</v>
      </c>
      <c r="B30" s="123"/>
      <c r="C30" s="123"/>
      <c r="D30" s="123"/>
      <c r="E30" s="123"/>
      <c r="F30" s="123"/>
    </row>
    <row r="31" spans="1:13">
      <c r="A31" s="46" t="s">
        <v>132</v>
      </c>
      <c r="B31" s="40" t="s">
        <v>3</v>
      </c>
      <c r="C31" s="40" t="s">
        <v>4</v>
      </c>
      <c r="D31" s="40" t="s">
        <v>2</v>
      </c>
      <c r="E31" s="40" t="s">
        <v>1</v>
      </c>
      <c r="F31" s="40" t="s">
        <v>5</v>
      </c>
      <c r="G31" s="44" t="s">
        <v>0</v>
      </c>
      <c r="H31" s="105"/>
      <c r="K31" s="105"/>
      <c r="L31" s="105"/>
      <c r="M31" s="105"/>
    </row>
    <row r="32" spans="1:13">
      <c r="A32" t="s">
        <v>56</v>
      </c>
      <c r="B32" s="41">
        <f t="shared" ref="B32:G32" si="1">(8760*B34-$B44*B33)/(8760-$B44)</f>
        <v>0.403921608040201</v>
      </c>
      <c r="C32" s="41">
        <f t="shared" si="1"/>
        <v>0.24018190954773874</v>
      </c>
      <c r="D32" s="41">
        <f t="shared" si="1"/>
        <v>0.31574371859296479</v>
      </c>
      <c r="E32" s="41">
        <f t="shared" si="1"/>
        <v>0.90891457286432165</v>
      </c>
      <c r="F32" s="41">
        <f t="shared" si="1"/>
        <v>0.8949748743718593</v>
      </c>
      <c r="G32" s="41">
        <f t="shared" si="1"/>
        <v>0.84497487437185925</v>
      </c>
      <c r="H32" s="41"/>
      <c r="K32" s="2"/>
      <c r="L32" s="2"/>
      <c r="M32" s="2"/>
    </row>
    <row r="33" spans="1:13">
      <c r="A33" t="s">
        <v>175</v>
      </c>
      <c r="B33" s="2">
        <f>B34+Data!D16</f>
        <v>0.49237999999999998</v>
      </c>
      <c r="C33" s="2">
        <f>C34+Data!E16</f>
        <v>0.66524000000000005</v>
      </c>
      <c r="D33" s="41">
        <f>Data!C19</f>
        <v>0.95</v>
      </c>
      <c r="E33" s="41">
        <f>Data!D19</f>
        <v>0.95</v>
      </c>
      <c r="F33" s="41">
        <f>Data!E19</f>
        <v>0.95</v>
      </c>
      <c r="G33" s="41">
        <f>Data!F19</f>
        <v>0.9</v>
      </c>
      <c r="H33" s="41"/>
      <c r="K33" s="2"/>
      <c r="L33" s="2"/>
      <c r="M33" s="2"/>
    </row>
    <row r="34" spans="1:13">
      <c r="A34" t="s">
        <v>58</v>
      </c>
      <c r="B34" s="41">
        <f>Data!F33*(1-B10)</f>
        <v>0.41199999999999998</v>
      </c>
      <c r="C34" s="41">
        <f>Data!F24+(Data!G25+Data!G26)/4</f>
        <v>0.27900000000000003</v>
      </c>
      <c r="D34" s="41">
        <f>Data!C8</f>
        <v>0.37366666666666665</v>
      </c>
      <c r="E34" s="41">
        <f>Data!D8</f>
        <v>0.91266666666666663</v>
      </c>
      <c r="F34" s="41">
        <f>Data!E20</f>
        <v>0.9</v>
      </c>
      <c r="G34" s="41">
        <f>Data!F20</f>
        <v>0.85</v>
      </c>
      <c r="H34" s="41"/>
      <c r="K34" s="2"/>
      <c r="L34" s="2"/>
      <c r="M34" s="2"/>
    </row>
    <row r="35" spans="1:13">
      <c r="A35" t="s">
        <v>245</v>
      </c>
    </row>
    <row r="36" spans="1:13">
      <c r="A36" t="s">
        <v>56</v>
      </c>
      <c r="B36" s="42">
        <f t="shared" ref="B36:G36" si="2">B32*(8760-$B44)</f>
        <v>3215.2159999999999</v>
      </c>
      <c r="C36" s="42">
        <f t="shared" si="2"/>
        <v>1911.8480000000004</v>
      </c>
      <c r="D36" s="42">
        <f t="shared" si="2"/>
        <v>2513.3199999999997</v>
      </c>
      <c r="E36" s="42">
        <f t="shared" si="2"/>
        <v>7234.96</v>
      </c>
      <c r="F36" s="42">
        <f t="shared" si="2"/>
        <v>7124</v>
      </c>
      <c r="G36" s="42">
        <f t="shared" si="2"/>
        <v>6726</v>
      </c>
      <c r="H36" s="42"/>
      <c r="K36" s="4"/>
    </row>
    <row r="37" spans="1:13">
      <c r="A37" t="s">
        <v>175</v>
      </c>
      <c r="B37" s="42">
        <f t="shared" ref="B37:G37" si="3">B33*$B44</f>
        <v>393.904</v>
      </c>
      <c r="C37" s="42">
        <f t="shared" si="3"/>
        <v>532.19200000000001</v>
      </c>
      <c r="D37" s="42">
        <f t="shared" si="3"/>
        <v>760</v>
      </c>
      <c r="E37" s="42">
        <f t="shared" si="3"/>
        <v>760</v>
      </c>
      <c r="F37" s="42">
        <f t="shared" si="3"/>
        <v>760</v>
      </c>
      <c r="G37" s="42">
        <f t="shared" si="3"/>
        <v>720</v>
      </c>
      <c r="H37" s="42"/>
      <c r="K37" s="6"/>
    </row>
    <row r="38" spans="1:13">
      <c r="A38" t="s">
        <v>58</v>
      </c>
      <c r="B38" s="42">
        <f t="shared" ref="B38:G38" si="4">B34*8760</f>
        <v>3609.12</v>
      </c>
      <c r="C38" s="42">
        <f t="shared" si="4"/>
        <v>2444.0400000000004</v>
      </c>
      <c r="D38" s="42">
        <f t="shared" si="4"/>
        <v>3273.3199999999997</v>
      </c>
      <c r="E38" s="42">
        <f t="shared" si="4"/>
        <v>7994.96</v>
      </c>
      <c r="F38" s="42">
        <f t="shared" si="4"/>
        <v>7884</v>
      </c>
      <c r="G38" s="42">
        <f t="shared" si="4"/>
        <v>7446</v>
      </c>
      <c r="H38" s="42"/>
    </row>
    <row r="39" spans="1:13">
      <c r="A39" t="s">
        <v>246</v>
      </c>
    </row>
    <row r="40" spans="1:13">
      <c r="A40" t="s">
        <v>56</v>
      </c>
      <c r="B40" s="42">
        <f t="shared" ref="B40:E40" si="5">B$36*$C27/2200</f>
        <v>3142.695541361039</v>
      </c>
      <c r="C40" s="42">
        <f t="shared" si="5"/>
        <v>1868.7255180865054</v>
      </c>
      <c r="D40" s="42">
        <f t="shared" si="5"/>
        <v>2456.6310810886507</v>
      </c>
      <c r="E40" s="42">
        <f t="shared" si="5"/>
        <v>7071.7726379582164</v>
      </c>
      <c r="F40" s="42">
        <f>F$36*$C$27/2200</f>
        <v>6963.3153843026548</v>
      </c>
      <c r="G40" s="42">
        <f>G$36*$C$27/2200</f>
        <v>6574.2924304912485</v>
      </c>
      <c r="H40" s="42"/>
    </row>
    <row r="41" spans="1:13">
      <c r="A41" t="s">
        <v>175</v>
      </c>
      <c r="B41" s="42">
        <f>B37*$D27/2200</f>
        <v>275.23404998463064</v>
      </c>
      <c r="C41" s="42">
        <f t="shared" ref="C41:G41" si="6">C37*$D27/2200</f>
        <v>371.86055366135037</v>
      </c>
      <c r="D41" s="42">
        <f t="shared" si="6"/>
        <v>531.03770966610978</v>
      </c>
      <c r="E41" s="42">
        <f t="shared" si="6"/>
        <v>531.03770966610978</v>
      </c>
      <c r="F41" s="42">
        <f t="shared" si="6"/>
        <v>531.03770966610978</v>
      </c>
      <c r="G41" s="42">
        <f t="shared" si="6"/>
        <v>503.08835652578824</v>
      </c>
      <c r="H41" s="42"/>
      <c r="M41" s="20"/>
    </row>
    <row r="42" spans="1:13">
      <c r="A42" t="s">
        <v>58</v>
      </c>
      <c r="B42" s="42">
        <f t="shared" ref="B42:G42" si="7">B40+B41</f>
        <v>3417.9295913456695</v>
      </c>
      <c r="C42" s="42">
        <f t="shared" si="7"/>
        <v>2240.5860717478558</v>
      </c>
      <c r="D42" s="42">
        <f t="shared" si="7"/>
        <v>2987.6687907547603</v>
      </c>
      <c r="E42" s="42">
        <f t="shared" si="7"/>
        <v>7602.8103476243259</v>
      </c>
      <c r="F42" s="42">
        <f t="shared" si="7"/>
        <v>7494.3530939687644</v>
      </c>
      <c r="G42" s="42">
        <f t="shared" si="7"/>
        <v>7077.3807870170367</v>
      </c>
      <c r="H42" s="42"/>
    </row>
    <row r="43" spans="1:13">
      <c r="A43" t="s">
        <v>176</v>
      </c>
      <c r="B43" s="6">
        <f>B42*$B$45</f>
        <v>170896.47956728347</v>
      </c>
      <c r="C43" s="6">
        <f>C42*$B45</f>
        <v>112029.30358739279</v>
      </c>
      <c r="D43" s="6">
        <f>D42*$B45</f>
        <v>149383.43953773801</v>
      </c>
      <c r="E43" s="6">
        <f>E42*$B45</f>
        <v>380140.51738121628</v>
      </c>
      <c r="F43" s="6">
        <f>F42*$B45</f>
        <v>374717.65469843824</v>
      </c>
      <c r="G43" s="6">
        <f>G42*$B45</f>
        <v>353869.03935085185</v>
      </c>
      <c r="H43" s="6"/>
    </row>
    <row r="44" spans="1:13">
      <c r="A44" s="14" t="s">
        <v>178</v>
      </c>
      <c r="B44" s="12">
        <f>B6</f>
        <v>800</v>
      </c>
      <c r="C44" s="6"/>
      <c r="D44" s="6"/>
      <c r="E44" s="6"/>
      <c r="F44" s="6"/>
      <c r="G44" s="6"/>
      <c r="H44" s="6"/>
    </row>
    <row r="45" spans="1:13">
      <c r="A45" s="14" t="s">
        <v>177</v>
      </c>
      <c r="B45" s="5">
        <f>B$5</f>
        <v>50</v>
      </c>
      <c r="C45" s="6"/>
      <c r="D45" s="6"/>
      <c r="E45" s="6"/>
      <c r="F45" s="6"/>
      <c r="G45" s="6"/>
      <c r="H45" s="6"/>
    </row>
    <row r="47" spans="1:13">
      <c r="A47" s="95" t="s">
        <v>233</v>
      </c>
    </row>
    <row r="48" spans="1:13">
      <c r="A48" t="s">
        <v>131</v>
      </c>
    </row>
    <row r="49" spans="1:16">
      <c r="B49" s="40" t="s">
        <v>3</v>
      </c>
      <c r="C49" s="40" t="s">
        <v>4</v>
      </c>
      <c r="D49" s="40" t="s">
        <v>2</v>
      </c>
      <c r="E49" s="40" t="s">
        <v>1</v>
      </c>
      <c r="F49" s="40" t="s">
        <v>5</v>
      </c>
      <c r="G49" s="61" t="s">
        <v>0</v>
      </c>
      <c r="H49" s="105"/>
    </row>
    <row r="50" spans="1:16">
      <c r="A50" t="s">
        <v>56</v>
      </c>
      <c r="B50" s="4">
        <f t="shared" ref="B50:G50" si="8">$B21*B36/2200</f>
        <v>1309.4493286254544</v>
      </c>
      <c r="C50" s="4">
        <f t="shared" si="8"/>
        <v>778.63138278545478</v>
      </c>
      <c r="D50" s="4">
        <f t="shared" si="8"/>
        <v>1023.5906970545452</v>
      </c>
      <c r="E50" s="4">
        <f t="shared" si="8"/>
        <v>2946.5558502545455</v>
      </c>
      <c r="F50" s="4">
        <f t="shared" si="8"/>
        <v>2901.3655745454544</v>
      </c>
      <c r="G50" s="4">
        <f t="shared" si="8"/>
        <v>2739.2735618181819</v>
      </c>
      <c r="H50" s="4"/>
    </row>
    <row r="51" spans="1:16">
      <c r="A51" t="s">
        <v>175</v>
      </c>
      <c r="B51" s="4">
        <f t="shared" ref="B51:G51" si="9">B41</f>
        <v>275.23404998463064</v>
      </c>
      <c r="C51" s="4">
        <f t="shared" si="9"/>
        <v>371.86055366135037</v>
      </c>
      <c r="D51" s="4">
        <f t="shared" si="9"/>
        <v>531.03770966610978</v>
      </c>
      <c r="E51" s="4">
        <f t="shared" si="9"/>
        <v>531.03770966610978</v>
      </c>
      <c r="F51" s="4">
        <f t="shared" si="9"/>
        <v>531.03770966610978</v>
      </c>
      <c r="G51" s="4">
        <f t="shared" si="9"/>
        <v>503.08835652578824</v>
      </c>
      <c r="H51" s="4"/>
    </row>
    <row r="52" spans="1:16">
      <c r="A52" t="s">
        <v>58</v>
      </c>
      <c r="B52" s="4">
        <f t="shared" ref="B52:G52" si="10">B50+B51</f>
        <v>1584.6833786100851</v>
      </c>
      <c r="C52" s="4">
        <f t="shared" si="10"/>
        <v>1150.4919364468051</v>
      </c>
      <c r="D52" s="4">
        <f t="shared" si="10"/>
        <v>1554.628406720655</v>
      </c>
      <c r="E52" s="4">
        <f t="shared" si="10"/>
        <v>3477.593559920655</v>
      </c>
      <c r="F52" s="4">
        <f t="shared" si="10"/>
        <v>3432.4032842115639</v>
      </c>
      <c r="G52" s="4">
        <f t="shared" si="10"/>
        <v>3242.36191834397</v>
      </c>
      <c r="H52" s="4"/>
    </row>
    <row r="53" spans="1:16">
      <c r="A53" t="s">
        <v>176</v>
      </c>
      <c r="B53" s="6">
        <f t="shared" ref="B53:G53" si="11">B52*$B55</f>
        <v>79234.168930504253</v>
      </c>
      <c r="C53" s="6">
        <f t="shared" si="11"/>
        <v>57524.596822340252</v>
      </c>
      <c r="D53" s="6">
        <f t="shared" si="11"/>
        <v>77731.420336032752</v>
      </c>
      <c r="E53" s="6">
        <f t="shared" si="11"/>
        <v>173879.67799603275</v>
      </c>
      <c r="F53" s="6">
        <f t="shared" si="11"/>
        <v>171620.16421057819</v>
      </c>
      <c r="G53" s="6">
        <f t="shared" si="11"/>
        <v>162118.09591719852</v>
      </c>
      <c r="H53" s="6"/>
    </row>
    <row r="54" spans="1:16">
      <c r="A54" s="14" t="s">
        <v>178</v>
      </c>
      <c r="B54" s="12">
        <f>B6</f>
        <v>800</v>
      </c>
      <c r="C54" s="6"/>
      <c r="D54" s="6"/>
      <c r="E54" s="6"/>
      <c r="F54" s="6"/>
      <c r="G54" s="6"/>
      <c r="H54" s="6"/>
    </row>
    <row r="55" spans="1:16">
      <c r="A55" s="14" t="s">
        <v>177</v>
      </c>
      <c r="B55" s="5">
        <f>B$5</f>
        <v>50</v>
      </c>
    </row>
    <row r="56" spans="1:16">
      <c r="D56" s="3"/>
    </row>
    <row r="57" spans="1:16">
      <c r="A57" s="122" t="s">
        <v>234</v>
      </c>
      <c r="B57" s="123"/>
      <c r="C57" s="123"/>
      <c r="D57" s="123"/>
    </row>
    <row r="58" spans="1:16">
      <c r="B58" s="44" t="s">
        <v>5</v>
      </c>
      <c r="C58" s="44" t="s">
        <v>0</v>
      </c>
      <c r="D58" s="44" t="s">
        <v>7</v>
      </c>
      <c r="K58" s="20"/>
      <c r="P58" s="20"/>
    </row>
    <row r="59" spans="1:16">
      <c r="A59" t="s">
        <v>118</v>
      </c>
      <c r="B59" s="5">
        <f>B3</f>
        <v>3.22</v>
      </c>
      <c r="C59" s="5">
        <f>B4</f>
        <v>2.2200000000000002</v>
      </c>
      <c r="D59" s="5">
        <f>B3</f>
        <v>3.22</v>
      </c>
    </row>
    <row r="60" spans="1:16">
      <c r="A60" t="s">
        <v>123</v>
      </c>
    </row>
    <row r="61" spans="1:16">
      <c r="A61" t="s">
        <v>10</v>
      </c>
      <c r="B61" s="5">
        <f>B59*B14/1000</f>
        <v>18.675999999999998</v>
      </c>
      <c r="C61" s="5">
        <f t="shared" ref="C61:D61" si="12">C59*C14/1000</f>
        <v>17.204999999999998</v>
      </c>
      <c r="D61" s="5">
        <f t="shared" si="12"/>
        <v>31.556000000000004</v>
      </c>
    </row>
    <row r="62" spans="1:16">
      <c r="A62" t="s">
        <v>9</v>
      </c>
      <c r="B62" s="5">
        <f>B59*$B$15/1000</f>
        <v>24.658760000000001</v>
      </c>
      <c r="C62" s="5">
        <f>C59*$C$15/1000</f>
        <v>22.377600000000001</v>
      </c>
      <c r="D62" s="5">
        <f>D59*$D$15/1000</f>
        <v>36.637160000000002</v>
      </c>
    </row>
    <row r="63" spans="1:16">
      <c r="A63" t="s">
        <v>119</v>
      </c>
    </row>
    <row r="64" spans="1:16">
      <c r="A64" t="s">
        <v>10</v>
      </c>
      <c r="B64" s="5">
        <f>Data!G45</f>
        <v>3.27</v>
      </c>
      <c r="C64" s="5">
        <f>Data!C55</f>
        <v>4.47</v>
      </c>
      <c r="D64" s="5">
        <f>Data!H45</f>
        <v>10.37</v>
      </c>
    </row>
    <row r="65" spans="1:12">
      <c r="A65" t="s">
        <v>9</v>
      </c>
      <c r="B65" s="5">
        <f>Data!C$63</f>
        <v>3.6</v>
      </c>
      <c r="C65" s="5">
        <f>Data!D63</f>
        <v>6.2429252199413492</v>
      </c>
      <c r="D65" s="5">
        <f>Data!E63</f>
        <v>15.45</v>
      </c>
    </row>
    <row r="66" spans="1:12">
      <c r="A66" t="s">
        <v>77</v>
      </c>
    </row>
    <row r="67" spans="1:12">
      <c r="A67" t="s">
        <v>10</v>
      </c>
      <c r="B67" s="5">
        <f>B61+B64</f>
        <v>21.945999999999998</v>
      </c>
      <c r="C67" s="5">
        <f t="shared" ref="C67:D67" si="13">C61+C64</f>
        <v>21.674999999999997</v>
      </c>
      <c r="D67" s="5">
        <f t="shared" si="13"/>
        <v>41.926000000000002</v>
      </c>
    </row>
    <row r="68" spans="1:12">
      <c r="A68" t="s">
        <v>9</v>
      </c>
      <c r="B68" s="5">
        <f>B62+B65</f>
        <v>28.258760000000002</v>
      </c>
      <c r="C68" s="5">
        <f>C62+C65</f>
        <v>28.620525219941349</v>
      </c>
      <c r="D68" s="5">
        <f>D62+D65</f>
        <v>52.087159999999997</v>
      </c>
    </row>
    <row r="70" spans="1:12">
      <c r="A70" s="122" t="s">
        <v>254</v>
      </c>
      <c r="B70" s="123"/>
      <c r="C70" s="123"/>
      <c r="D70" s="123"/>
      <c r="E70" s="123"/>
      <c r="F70" s="123"/>
    </row>
    <row r="71" spans="1:12">
      <c r="A71" s="8"/>
      <c r="B71" s="40" t="s">
        <v>3</v>
      </c>
      <c r="C71" s="40" t="s">
        <v>4</v>
      </c>
      <c r="D71" s="40" t="s">
        <v>2</v>
      </c>
      <c r="E71" s="40" t="s">
        <v>1</v>
      </c>
      <c r="F71" s="58" t="s">
        <v>5</v>
      </c>
      <c r="G71" s="58" t="s">
        <v>0</v>
      </c>
      <c r="H71" s="105"/>
      <c r="L71" s="102"/>
    </row>
    <row r="72" spans="1:12">
      <c r="A72" t="s">
        <v>56</v>
      </c>
      <c r="B72" s="6">
        <f t="shared" ref="B72:G72" si="14">$C68*B36</f>
        <v>92021.170615558949</v>
      </c>
      <c r="C72" s="6">
        <f t="shared" si="14"/>
        <v>54718.093900694439</v>
      </c>
      <c r="D72" s="6">
        <f t="shared" si="14"/>
        <v>71932.538445782979</v>
      </c>
      <c r="E72" s="6">
        <f t="shared" si="14"/>
        <v>207068.35514526686</v>
      </c>
      <c r="F72" s="6">
        <f t="shared" si="14"/>
        <v>203892.62166686216</v>
      </c>
      <c r="G72" s="6">
        <f t="shared" si="14"/>
        <v>192501.65262932552</v>
      </c>
      <c r="H72" s="6"/>
      <c r="K72" s="107"/>
      <c r="L72" s="6"/>
    </row>
    <row r="73" spans="1:12">
      <c r="A73" t="s">
        <v>57</v>
      </c>
      <c r="B73" s="6">
        <f>$D68*B37</f>
        <v>20517.340672639999</v>
      </c>
      <c r="C73" s="6">
        <f>$D68*C37</f>
        <v>27720.36985472</v>
      </c>
      <c r="D73" s="6">
        <f t="shared" ref="D73:G73" si="15">$D68*D37</f>
        <v>39586.241600000001</v>
      </c>
      <c r="E73" s="6">
        <f t="shared" si="15"/>
        <v>39586.241600000001</v>
      </c>
      <c r="F73" s="6">
        <f t="shared" si="15"/>
        <v>39586.241600000001</v>
      </c>
      <c r="G73" s="6">
        <f t="shared" si="15"/>
        <v>37502.7552</v>
      </c>
      <c r="H73" s="6"/>
      <c r="L73" s="6"/>
    </row>
    <row r="74" spans="1:12">
      <c r="A74" t="s">
        <v>58</v>
      </c>
      <c r="B74" s="6">
        <f t="shared" ref="B74:G74" si="16">B72+B73</f>
        <v>112538.51128819895</v>
      </c>
      <c r="C74" s="6">
        <f t="shared" si="16"/>
        <v>82438.463755414443</v>
      </c>
      <c r="D74" s="6">
        <f t="shared" si="16"/>
        <v>111518.78004578297</v>
      </c>
      <c r="E74" s="6">
        <f t="shared" si="16"/>
        <v>246654.59674526687</v>
      </c>
      <c r="F74" s="6">
        <f t="shared" si="16"/>
        <v>243478.86326686217</v>
      </c>
      <c r="G74" s="6">
        <f t="shared" si="16"/>
        <v>230004.40782932553</v>
      </c>
      <c r="H74" s="6"/>
      <c r="K74" s="107"/>
    </row>
    <row r="75" spans="1:12">
      <c r="L75" s="6"/>
    </row>
    <row r="76" spans="1:12">
      <c r="A76" s="95" t="s">
        <v>255</v>
      </c>
      <c r="B76" s="88"/>
      <c r="C76" s="88"/>
      <c r="D76" s="88"/>
      <c r="E76" s="88"/>
      <c r="F76" s="88"/>
      <c r="K76" s="6"/>
    </row>
    <row r="77" spans="1:12">
      <c r="B77" s="40" t="s">
        <v>3</v>
      </c>
      <c r="C77" s="40" t="s">
        <v>4</v>
      </c>
      <c r="D77" s="40" t="s">
        <v>2</v>
      </c>
      <c r="E77" s="40" t="s">
        <v>1</v>
      </c>
      <c r="F77" s="92" t="s">
        <v>5</v>
      </c>
      <c r="G77" s="92"/>
      <c r="H77" s="105"/>
      <c r="K77" s="6"/>
    </row>
    <row r="78" spans="1:12">
      <c r="A78" t="s">
        <v>56</v>
      </c>
      <c r="B78" s="6">
        <f t="shared" ref="B78:G78" si="17">$B68*B36</f>
        <v>90858.017292160002</v>
      </c>
      <c r="C78" s="6">
        <f t="shared" si="17"/>
        <v>54026.453788480016</v>
      </c>
      <c r="D78" s="6">
        <f t="shared" si="17"/>
        <v>71023.306683200004</v>
      </c>
      <c r="E78" s="6">
        <f t="shared" si="17"/>
        <v>204450.99824960003</v>
      </c>
      <c r="F78" s="6">
        <f t="shared" si="17"/>
        <v>201315.40624000001</v>
      </c>
      <c r="G78" s="6">
        <f t="shared" si="17"/>
        <v>190068.41976000002</v>
      </c>
      <c r="H78" s="6"/>
    </row>
    <row r="79" spans="1:12">
      <c r="A79" t="s">
        <v>57</v>
      </c>
      <c r="B79" s="6">
        <f t="shared" ref="B79:F79" si="18">B73</f>
        <v>20517.340672639999</v>
      </c>
      <c r="C79" s="6">
        <f t="shared" si="18"/>
        <v>27720.36985472</v>
      </c>
      <c r="D79" s="6">
        <f t="shared" si="18"/>
        <v>39586.241600000001</v>
      </c>
      <c r="E79" s="6">
        <f t="shared" si="18"/>
        <v>39586.241600000001</v>
      </c>
      <c r="F79" s="6">
        <f t="shared" si="18"/>
        <v>39586.241600000001</v>
      </c>
      <c r="G79" s="6">
        <f t="shared" ref="G79" si="19">G73</f>
        <v>37502.7552</v>
      </c>
      <c r="H79" s="6"/>
    </row>
    <row r="80" spans="1:12">
      <c r="A80" t="s">
        <v>58</v>
      </c>
      <c r="B80" s="6">
        <f t="shared" ref="B80:F80" si="20">B78+B79</f>
        <v>111375.3579648</v>
      </c>
      <c r="C80" s="6">
        <f t="shared" si="20"/>
        <v>81746.823643200012</v>
      </c>
      <c r="D80" s="6">
        <f t="shared" si="20"/>
        <v>110609.54828320001</v>
      </c>
      <c r="E80" s="6">
        <f t="shared" si="20"/>
        <v>244037.23984960004</v>
      </c>
      <c r="F80" s="6">
        <f t="shared" si="20"/>
        <v>240901.64784000002</v>
      </c>
      <c r="G80" s="6">
        <f t="shared" ref="G80" si="21">G78+G79</f>
        <v>227571.17496000003</v>
      </c>
      <c r="H80" s="6"/>
    </row>
    <row r="82" spans="1:10">
      <c r="A82" s="122" t="s">
        <v>269</v>
      </c>
      <c r="B82" s="123"/>
      <c r="C82" s="123"/>
      <c r="D82" s="123"/>
      <c r="E82" s="123"/>
      <c r="F82" s="123"/>
    </row>
    <row r="83" spans="1:10">
      <c r="B83" s="62" t="s">
        <v>3</v>
      </c>
      <c r="C83" s="62" t="s">
        <v>4</v>
      </c>
      <c r="D83" s="62" t="s">
        <v>2</v>
      </c>
      <c r="E83" s="62" t="s">
        <v>1</v>
      </c>
      <c r="F83" s="62" t="s">
        <v>5</v>
      </c>
      <c r="G83" s="64" t="s">
        <v>0</v>
      </c>
      <c r="H83" s="64" t="s">
        <v>7</v>
      </c>
    </row>
    <row r="84" spans="1:10">
      <c r="A84" t="s">
        <v>120</v>
      </c>
      <c r="B84" s="6">
        <f>C96</f>
        <v>1644</v>
      </c>
      <c r="C84" s="6">
        <f>C98</f>
        <v>2480</v>
      </c>
      <c r="D84" s="6">
        <f>Data!E42</f>
        <v>2411</v>
      </c>
      <c r="E84" s="6">
        <f>Data!F42</f>
        <v>6108</v>
      </c>
      <c r="F84" s="6">
        <f>Data!G42</f>
        <v>1080</v>
      </c>
      <c r="G84" s="6">
        <f>Data!C52</f>
        <v>2934</v>
      </c>
      <c r="H84" s="6">
        <f>Data!H42</f>
        <v>664</v>
      </c>
    </row>
    <row r="85" spans="1:10">
      <c r="A85" t="s">
        <v>260</v>
      </c>
      <c r="B85" s="27">
        <f>Data!C43</f>
        <v>3</v>
      </c>
      <c r="C85" s="27">
        <f>Data!D43</f>
        <v>2</v>
      </c>
      <c r="D85" s="27">
        <f>Data!E43</f>
        <v>4</v>
      </c>
      <c r="E85" s="27">
        <f>Data!F43</f>
        <v>6</v>
      </c>
      <c r="F85" s="27">
        <f>Data!G43</f>
        <v>3</v>
      </c>
      <c r="G85" s="30">
        <f>Data!C53</f>
        <v>4</v>
      </c>
      <c r="H85" s="30">
        <f>Data!H43</f>
        <v>2</v>
      </c>
    </row>
    <row r="86" spans="1:10">
      <c r="A86" t="s">
        <v>121</v>
      </c>
      <c r="B86" s="6">
        <f>J97</f>
        <v>123.30000000000001</v>
      </c>
      <c r="C86" s="6">
        <f>J99</f>
        <v>139.5</v>
      </c>
      <c r="D86" s="6">
        <f>J101</f>
        <v>361.65</v>
      </c>
      <c r="E86" s="6">
        <f>J103</f>
        <v>1374.3</v>
      </c>
      <c r="F86" s="6">
        <f>J105</f>
        <v>121.5</v>
      </c>
      <c r="G86" s="6">
        <f>J107</f>
        <v>440.09999999999997</v>
      </c>
      <c r="H86" s="6">
        <f>J109</f>
        <v>37.349999999999994</v>
      </c>
    </row>
    <row r="87" spans="1:10">
      <c r="A87" t="s">
        <v>49</v>
      </c>
      <c r="B87" s="6">
        <f t="shared" ref="B87:F87" si="22">B84+B86</f>
        <v>1767.3</v>
      </c>
      <c r="C87" s="6">
        <f t="shared" si="22"/>
        <v>2619.5</v>
      </c>
      <c r="D87" s="6">
        <f t="shared" si="22"/>
        <v>2772.65</v>
      </c>
      <c r="E87" s="6">
        <f t="shared" si="22"/>
        <v>7482.3</v>
      </c>
      <c r="F87" s="6">
        <f t="shared" si="22"/>
        <v>1201.5</v>
      </c>
      <c r="G87" s="6">
        <f>G84+G86</f>
        <v>3374.1</v>
      </c>
      <c r="H87" s="6">
        <f>H84+H86</f>
        <v>701.35</v>
      </c>
    </row>
    <row r="88" spans="1:10">
      <c r="A88" t="s">
        <v>8</v>
      </c>
      <c r="B88">
        <v>25</v>
      </c>
      <c r="C88">
        <v>40</v>
      </c>
      <c r="D88">
        <v>50</v>
      </c>
      <c r="E88">
        <v>40</v>
      </c>
      <c r="F88">
        <v>30</v>
      </c>
      <c r="G88" s="18">
        <v>30</v>
      </c>
      <c r="H88" s="18">
        <v>30</v>
      </c>
    </row>
    <row r="89" spans="1:10">
      <c r="A89" t="s">
        <v>296</v>
      </c>
      <c r="B89" s="7">
        <f t="shared" ref="B89:H89" si="23">-PMT($B7,B88,B87,0)*1000</f>
        <v>158545.6700060624</v>
      </c>
      <c r="C89" s="7">
        <f t="shared" si="23"/>
        <v>207989.12200688888</v>
      </c>
      <c r="D89" s="7">
        <f t="shared" si="23"/>
        <v>213694.81823203713</v>
      </c>
      <c r="E89" s="7">
        <f t="shared" si="23"/>
        <v>594096.96796798799</v>
      </c>
      <c r="F89" s="7">
        <f t="shared" si="23"/>
        <v>101732.48977481923</v>
      </c>
      <c r="G89" s="7">
        <f t="shared" si="23"/>
        <v>285689.21660359349</v>
      </c>
      <c r="H89" s="7">
        <f t="shared" si="23"/>
        <v>59384.171205634178</v>
      </c>
    </row>
    <row r="90" spans="1:10">
      <c r="A90" t="s">
        <v>297</v>
      </c>
      <c r="B90" s="6">
        <f>Data!C44*1000</f>
        <v>45980</v>
      </c>
      <c r="C90" s="6">
        <f>Data!D44*1000</f>
        <v>21330</v>
      </c>
      <c r="D90" s="6">
        <f>Data!E44*1000</f>
        <v>14700</v>
      </c>
      <c r="E90" s="6">
        <f>Data!F44*1000</f>
        <v>98110</v>
      </c>
      <c r="F90" s="6">
        <f>Data!G44*1000</f>
        <v>9780</v>
      </c>
      <c r="G90" s="6">
        <f>Data!C54*1000</f>
        <v>31180</v>
      </c>
      <c r="H90" s="6">
        <f>Data!H44*1000</f>
        <v>6650</v>
      </c>
    </row>
    <row r="91" spans="1:10">
      <c r="A91" s="46" t="s">
        <v>133</v>
      </c>
      <c r="B91" s="6">
        <f t="shared" ref="B91:F91" si="24">B89+B90</f>
        <v>204525.6700060624</v>
      </c>
      <c r="C91" s="6">
        <f t="shared" si="24"/>
        <v>229319.12200688888</v>
      </c>
      <c r="D91" s="6">
        <f t="shared" si="24"/>
        <v>228394.81823203713</v>
      </c>
      <c r="E91" s="6">
        <f t="shared" si="24"/>
        <v>692206.96796798799</v>
      </c>
      <c r="F91" s="6">
        <f t="shared" si="24"/>
        <v>111512.48977481923</v>
      </c>
      <c r="G91" s="7">
        <f>G89+G90</f>
        <v>316869.21660359349</v>
      </c>
      <c r="H91" s="7">
        <f>H89+H90</f>
        <v>66034.171205634178</v>
      </c>
    </row>
    <row r="92" spans="1:10">
      <c r="A92" s="46"/>
      <c r="B92" s="6"/>
      <c r="C92" s="6"/>
      <c r="D92" s="6"/>
      <c r="E92" s="6"/>
      <c r="F92" s="6"/>
    </row>
    <row r="93" spans="1:10">
      <c r="B93" t="s">
        <v>42</v>
      </c>
    </row>
    <row r="94" spans="1:10">
      <c r="A94" s="6"/>
      <c r="B94" t="s">
        <v>43</v>
      </c>
      <c r="C94" t="s">
        <v>45</v>
      </c>
      <c r="E94" s="9"/>
      <c r="J94" s="44" t="s">
        <v>48</v>
      </c>
    </row>
    <row r="95" spans="1:10">
      <c r="A95" s="6"/>
      <c r="B95" t="s">
        <v>44</v>
      </c>
      <c r="C95" t="s">
        <v>46</v>
      </c>
      <c r="D95" s="44" t="s">
        <v>102</v>
      </c>
      <c r="E95" s="44" t="s">
        <v>105</v>
      </c>
      <c r="F95" s="44" t="s">
        <v>106</v>
      </c>
      <c r="G95" s="44" t="s">
        <v>107</v>
      </c>
      <c r="H95" s="44" t="s">
        <v>108</v>
      </c>
      <c r="I95" s="109" t="s">
        <v>261</v>
      </c>
      <c r="J95" s="44" t="s">
        <v>104</v>
      </c>
    </row>
    <row r="96" spans="1:10">
      <c r="A96" t="s">
        <v>109</v>
      </c>
      <c r="B96" s="27">
        <f>B85</f>
        <v>3</v>
      </c>
      <c r="C96" s="6">
        <f>Data!C42*(1-B8)</f>
        <v>1644</v>
      </c>
      <c r="D96" s="6">
        <f>C96/B96</f>
        <v>548</v>
      </c>
      <c r="E96" s="6">
        <f>2*D96</f>
        <v>1096</v>
      </c>
      <c r="F96" s="6">
        <f>3*D96</f>
        <v>1644</v>
      </c>
      <c r="G96" s="6"/>
      <c r="H96" s="6"/>
    </row>
    <row r="97" spans="1:10">
      <c r="A97" t="s">
        <v>103</v>
      </c>
      <c r="D97" s="6">
        <f>$B$7*D96/2</f>
        <v>20.55</v>
      </c>
      <c r="E97" s="6">
        <f>$B$7*E96/2</f>
        <v>41.1</v>
      </c>
      <c r="F97" s="6">
        <f>$B$7*F96/2</f>
        <v>61.65</v>
      </c>
      <c r="J97" s="6">
        <f>SUM(D97:I97)</f>
        <v>123.30000000000001</v>
      </c>
    </row>
    <row r="98" spans="1:10">
      <c r="A98" t="s">
        <v>110</v>
      </c>
      <c r="B98" s="27">
        <f>C85</f>
        <v>2</v>
      </c>
      <c r="C98" s="6">
        <f>Data!D42*(1-B9)</f>
        <v>2480</v>
      </c>
      <c r="D98" s="6">
        <f>C98/B98</f>
        <v>1240</v>
      </c>
      <c r="E98" s="6">
        <f>C98</f>
        <v>2480</v>
      </c>
    </row>
    <row r="99" spans="1:10">
      <c r="A99" t="s">
        <v>114</v>
      </c>
      <c r="D99" s="6">
        <f>$B$7*D98/2</f>
        <v>46.5</v>
      </c>
      <c r="E99" s="6">
        <f>$B$7*E98/2</f>
        <v>93</v>
      </c>
      <c r="J99" s="6">
        <f>SUM(D99:I99)</f>
        <v>139.5</v>
      </c>
    </row>
    <row r="100" spans="1:10">
      <c r="A100" t="s">
        <v>111</v>
      </c>
      <c r="B100" s="27">
        <f>D85</f>
        <v>4</v>
      </c>
      <c r="C100" s="6">
        <f>Data!E42</f>
        <v>2411</v>
      </c>
      <c r="D100" s="6">
        <f>C100/B100</f>
        <v>602.75</v>
      </c>
      <c r="E100" s="5">
        <f>2*D100</f>
        <v>1205.5</v>
      </c>
      <c r="F100" s="5">
        <f>3*D100</f>
        <v>1808.25</v>
      </c>
      <c r="G100" s="6">
        <f>4*D100</f>
        <v>2411</v>
      </c>
      <c r="H100" s="6"/>
    </row>
    <row r="101" spans="1:10">
      <c r="A101" t="s">
        <v>115</v>
      </c>
      <c r="D101" s="6">
        <f>$B$7*D100/2</f>
        <v>22.603124999999999</v>
      </c>
      <c r="E101" s="6">
        <f>$B$7*(D100+E100)/2</f>
        <v>67.809375000000003</v>
      </c>
      <c r="F101" s="6">
        <f>$B$7*(E100+F100)/2</f>
        <v>113.015625</v>
      </c>
      <c r="G101" s="6">
        <f>$B$7*(F100+G100)/2</f>
        <v>158.22187499999998</v>
      </c>
      <c r="H101" s="6"/>
      <c r="J101" s="6">
        <f>SUM(D101:I101)</f>
        <v>361.65</v>
      </c>
    </row>
    <row r="102" spans="1:10">
      <c r="A102" t="s">
        <v>112</v>
      </c>
      <c r="B102" s="27">
        <f>E85</f>
        <v>6</v>
      </c>
      <c r="C102" s="6">
        <f>Data!F42</f>
        <v>6108</v>
      </c>
      <c r="D102" s="6">
        <f>C102/B102</f>
        <v>1018</v>
      </c>
      <c r="E102" s="6">
        <f>2*D102</f>
        <v>2036</v>
      </c>
      <c r="F102" s="6">
        <f>3*D102</f>
        <v>3054</v>
      </c>
      <c r="G102" s="6">
        <f>4*D102</f>
        <v>4072</v>
      </c>
      <c r="H102" s="6">
        <f>5*D102</f>
        <v>5090</v>
      </c>
      <c r="I102" s="6">
        <f>6*D102</f>
        <v>6108</v>
      </c>
    </row>
    <row r="103" spans="1:10">
      <c r="A103" t="s">
        <v>116</v>
      </c>
      <c r="D103" s="6">
        <f>B$7*D102/2</f>
        <v>38.174999999999997</v>
      </c>
      <c r="E103" s="6">
        <f>$B$7*(D102+E102)/2</f>
        <v>114.52499999999999</v>
      </c>
      <c r="F103" s="6">
        <f>$B$7*(E102+F102)/2</f>
        <v>190.875</v>
      </c>
      <c r="G103" s="6">
        <f>$B$7*(F102+G102)/2</f>
        <v>267.22499999999997</v>
      </c>
      <c r="H103" s="6">
        <f>$B$7*(G102+H102)/2</f>
        <v>343.57499999999999</v>
      </c>
      <c r="I103" s="6">
        <f>$B$7*(H102+I102)/2</f>
        <v>419.92500000000001</v>
      </c>
      <c r="J103" s="6">
        <f>SUM(D103:I103)</f>
        <v>1374.3</v>
      </c>
    </row>
    <row r="104" spans="1:10">
      <c r="A104" t="s">
        <v>113</v>
      </c>
      <c r="B104" s="27">
        <f>F85</f>
        <v>3</v>
      </c>
      <c r="C104" s="6">
        <f>Data!G42</f>
        <v>1080</v>
      </c>
      <c r="D104" s="6">
        <f>C104/B104</f>
        <v>360</v>
      </c>
      <c r="E104" s="6">
        <f>2*D104</f>
        <v>720</v>
      </c>
      <c r="F104" s="6">
        <f>C104</f>
        <v>1080</v>
      </c>
      <c r="J104" s="6"/>
    </row>
    <row r="105" spans="1:10">
      <c r="A105" t="s">
        <v>117</v>
      </c>
      <c r="D105" s="6">
        <f>$B$7*D104/2</f>
        <v>13.5</v>
      </c>
      <c r="E105" s="6">
        <f>$B$7*(D104+E104)/2</f>
        <v>40.5</v>
      </c>
      <c r="F105" s="6">
        <f>$B$7*(E104+F104)*0.5</f>
        <v>67.5</v>
      </c>
      <c r="G105" s="6"/>
      <c r="H105" s="6"/>
      <c r="J105" s="6">
        <f>SUM(D105:I105)</f>
        <v>121.5</v>
      </c>
    </row>
    <row r="106" spans="1:10">
      <c r="A106" t="s">
        <v>0</v>
      </c>
      <c r="B106" s="30">
        <f>G85</f>
        <v>4</v>
      </c>
      <c r="C106" s="6">
        <f>Data!C52</f>
        <v>2934</v>
      </c>
      <c r="D106" s="6">
        <f>C106/B106</f>
        <v>733.5</v>
      </c>
      <c r="E106" s="6">
        <f>2*D106</f>
        <v>1467</v>
      </c>
      <c r="F106" s="6">
        <f>3*D106</f>
        <v>2200.5</v>
      </c>
      <c r="G106" s="6">
        <f>C106</f>
        <v>2934</v>
      </c>
    </row>
    <row r="107" spans="1:10">
      <c r="A107" t="s">
        <v>47</v>
      </c>
      <c r="D107" s="6">
        <f>$B$7*D106/2</f>
        <v>27.506249999999998</v>
      </c>
      <c r="E107" s="6">
        <f>$B$7*(D106+E106)/2</f>
        <v>82.518749999999997</v>
      </c>
      <c r="F107" s="6">
        <f>$B$7*(E106+F106)/2</f>
        <v>137.53125</v>
      </c>
      <c r="G107" s="6">
        <f>$B$7*(F106+G106)/2</f>
        <v>192.54374999999999</v>
      </c>
      <c r="H107" s="6"/>
      <c r="J107" s="6">
        <f>SUM(D107:I107)</f>
        <v>440.09999999999997</v>
      </c>
    </row>
    <row r="108" spans="1:10">
      <c r="A108" t="s">
        <v>7</v>
      </c>
      <c r="B108" s="30">
        <f>H85</f>
        <v>2</v>
      </c>
      <c r="C108" s="6">
        <f>Data!H42</f>
        <v>664</v>
      </c>
      <c r="D108" s="6">
        <f>C108/B108</f>
        <v>332</v>
      </c>
      <c r="E108" s="6">
        <f>2*D108</f>
        <v>664</v>
      </c>
      <c r="F108" s="6"/>
      <c r="G108" s="6"/>
      <c r="H108" s="6"/>
      <c r="J108" s="6"/>
    </row>
    <row r="109" spans="1:10">
      <c r="A109" t="s">
        <v>69</v>
      </c>
      <c r="D109" s="6">
        <f>$B$7*D108/2</f>
        <v>12.45</v>
      </c>
      <c r="E109" s="6">
        <f>$B$7*E108/2</f>
        <v>24.9</v>
      </c>
      <c r="F109" s="6"/>
      <c r="G109" s="6"/>
      <c r="H109" s="6"/>
      <c r="J109" s="6">
        <f>SUM(D109:I109)</f>
        <v>37.349999999999994</v>
      </c>
    </row>
    <row r="110" spans="1:10">
      <c r="A110" s="46"/>
      <c r="B110" s="6"/>
      <c r="C110" s="6"/>
      <c r="D110" s="6"/>
      <c r="E110" s="6"/>
      <c r="F110" s="6"/>
    </row>
    <row r="111" spans="1:10">
      <c r="A111" s="108" t="s">
        <v>270</v>
      </c>
      <c r="B111" s="107"/>
      <c r="C111" s="107"/>
      <c r="D111" s="107"/>
      <c r="E111" s="107"/>
      <c r="F111" s="107"/>
      <c r="G111" s="6"/>
      <c r="H111" s="6"/>
    </row>
    <row r="112" spans="1:10">
      <c r="A112" t="s">
        <v>64</v>
      </c>
      <c r="B112" s="109" t="s">
        <v>3</v>
      </c>
      <c r="C112" s="109" t="s">
        <v>4</v>
      </c>
      <c r="D112" s="109" t="s">
        <v>2</v>
      </c>
      <c r="E112" s="109" t="s">
        <v>1</v>
      </c>
      <c r="F112" s="109" t="s">
        <v>5</v>
      </c>
      <c r="G112" s="109" t="s">
        <v>0</v>
      </c>
      <c r="H112" s="109"/>
    </row>
    <row r="113" spans="1:11">
      <c r="A113" t="s">
        <v>256</v>
      </c>
      <c r="B113" s="2">
        <f t="shared" ref="B113:G113" si="25">B32</f>
        <v>0.403921608040201</v>
      </c>
      <c r="C113" s="2">
        <f t="shared" si="25"/>
        <v>0.24018190954773874</v>
      </c>
      <c r="D113" s="2">
        <f t="shared" si="25"/>
        <v>0.31574371859296479</v>
      </c>
      <c r="E113" s="2">
        <f t="shared" si="25"/>
        <v>0.90891457286432165</v>
      </c>
      <c r="F113" s="2">
        <f t="shared" si="25"/>
        <v>0.8949748743718593</v>
      </c>
      <c r="G113" s="2">
        <f t="shared" si="25"/>
        <v>0.84497487437185925</v>
      </c>
      <c r="H113" s="2"/>
    </row>
    <row r="114" spans="1:11">
      <c r="A114" t="s">
        <v>160</v>
      </c>
      <c r="B114" s="23">
        <f t="shared" ref="B114:G114" si="26">B113/$C126</f>
        <v>0.47802795123401726</v>
      </c>
      <c r="C114" s="23">
        <f t="shared" si="26"/>
        <v>0.28424739815640804</v>
      </c>
      <c r="D114" s="23">
        <f t="shared" si="26"/>
        <v>0.3736723163841808</v>
      </c>
      <c r="E114" s="23">
        <f t="shared" si="26"/>
        <v>1.0756705322628606</v>
      </c>
      <c r="F114" s="23">
        <f t="shared" si="26"/>
        <v>1.0591733571216178</v>
      </c>
      <c r="G114" s="23">
        <f t="shared" si="26"/>
        <v>1</v>
      </c>
      <c r="H114" s="23"/>
    </row>
    <row r="115" spans="1:11">
      <c r="A115" t="s">
        <v>161</v>
      </c>
      <c r="B115" s="23">
        <f t="shared" ref="B115:G115" si="27">B113/$C127</f>
        <v>0.451321729365525</v>
      </c>
      <c r="C115" s="23">
        <f t="shared" si="27"/>
        <v>0.26836720943290293</v>
      </c>
      <c r="D115" s="23">
        <f t="shared" si="27"/>
        <v>0.35279618192026946</v>
      </c>
      <c r="E115" s="23">
        <f t="shared" si="27"/>
        <v>1.0155755193711398</v>
      </c>
      <c r="F115" s="23">
        <f t="shared" si="27"/>
        <v>1</v>
      </c>
      <c r="G115" s="23">
        <f t="shared" si="27"/>
        <v>0.94413250982594044</v>
      </c>
      <c r="H115" s="23"/>
    </row>
    <row r="116" spans="1:11">
      <c r="A116" t="s">
        <v>154</v>
      </c>
      <c r="B116" s="54">
        <f t="shared" ref="B116:G116" si="28">B114*$G91</f>
        <v>151472.34242214385</v>
      </c>
      <c r="C116" s="54">
        <f t="shared" si="28"/>
        <v>90069.25037543074</v>
      </c>
      <c r="D116" s="54">
        <f t="shared" si="28"/>
        <v>118405.25415910551</v>
      </c>
      <c r="E116" s="54">
        <f t="shared" si="28"/>
        <v>340846.87888170307</v>
      </c>
      <c r="F116" s="54">
        <f t="shared" si="28"/>
        <v>335619.4319185252</v>
      </c>
      <c r="G116" s="54">
        <f t="shared" si="28"/>
        <v>316869.21660359349</v>
      </c>
      <c r="H116" s="54"/>
    </row>
    <row r="117" spans="1:11">
      <c r="A117" t="s">
        <v>155</v>
      </c>
      <c r="B117" s="54">
        <f>B115*$F91</f>
        <v>50328.009731026839</v>
      </c>
      <c r="C117" s="54">
        <f>C115*$F91</f>
        <v>29926.29569778336</v>
      </c>
      <c r="D117" s="54">
        <f t="shared" ref="D117:G117" si="29">D115*$F91</f>
        <v>39341.180628979317</v>
      </c>
      <c r="E117" s="54">
        <f t="shared" si="29"/>
        <v>113249.35471943095</v>
      </c>
      <c r="F117" s="54">
        <f t="shared" si="29"/>
        <v>111512.48977481923</v>
      </c>
      <c r="G117" s="54">
        <f t="shared" si="29"/>
        <v>105282.5668480396</v>
      </c>
      <c r="H117" s="54"/>
    </row>
    <row r="118" spans="1:11">
      <c r="A118" t="s">
        <v>65</v>
      </c>
    </row>
    <row r="119" spans="1:11">
      <c r="A119" t="s">
        <v>257</v>
      </c>
      <c r="B119" s="2">
        <f t="shared" ref="B119:G119" si="30">B33</f>
        <v>0.49237999999999998</v>
      </c>
      <c r="C119" s="2">
        <f t="shared" si="30"/>
        <v>0.66524000000000005</v>
      </c>
      <c r="D119" s="2">
        <f t="shared" si="30"/>
        <v>0.95</v>
      </c>
      <c r="E119" s="2">
        <f t="shared" si="30"/>
        <v>0.95</v>
      </c>
      <c r="F119" s="2">
        <f t="shared" si="30"/>
        <v>0.95</v>
      </c>
      <c r="G119" s="2">
        <f t="shared" si="30"/>
        <v>0.9</v>
      </c>
      <c r="H119" s="2"/>
    </row>
    <row r="120" spans="1:11">
      <c r="A120" t="s">
        <v>258</v>
      </c>
      <c r="B120" s="2">
        <f>Reliability!H21</f>
        <v>0.21326596980610804</v>
      </c>
      <c r="C120" s="2">
        <f>Reliability!I21</f>
        <v>0.26402713909461584</v>
      </c>
      <c r="D120" s="2">
        <f>D119-0.05</f>
        <v>0.89999999999999991</v>
      </c>
      <c r="E120" s="2">
        <f>E119-0.2</f>
        <v>0.75</v>
      </c>
      <c r="F120" s="2">
        <f>F119-0.15</f>
        <v>0.79999999999999993</v>
      </c>
      <c r="G120" s="2">
        <f>G119-0.1</f>
        <v>0.8</v>
      </c>
      <c r="H120" s="2"/>
    </row>
    <row r="121" spans="1:11">
      <c r="A121" t="s">
        <v>162</v>
      </c>
      <c r="B121" s="23">
        <f t="shared" ref="B121:G121" si="31">B120/$C130</f>
        <v>0.2600804509830586</v>
      </c>
      <c r="C121" s="23">
        <f t="shared" si="31"/>
        <v>0.3219843159690437</v>
      </c>
      <c r="D121" s="23">
        <f t="shared" si="31"/>
        <v>1.097560975609756</v>
      </c>
      <c r="E121" s="23">
        <f t="shared" si="31"/>
        <v>0.91463414634146345</v>
      </c>
      <c r="F121" s="23">
        <f t="shared" si="31"/>
        <v>0.97560975609756095</v>
      </c>
      <c r="G121" s="23">
        <f t="shared" si="31"/>
        <v>0.97560975609756106</v>
      </c>
      <c r="H121" s="23"/>
      <c r="K121" s="105"/>
    </row>
    <row r="122" spans="1:11">
      <c r="A122" t="s">
        <v>156</v>
      </c>
      <c r="B122" s="54">
        <f t="shared" ref="B122:G122" si="32">B121*$H91</f>
        <v>17174.19702745384</v>
      </c>
      <c r="C122" s="54">
        <f t="shared" si="32"/>
        <v>21261.967446228842</v>
      </c>
      <c r="D122" s="54">
        <f t="shared" si="32"/>
        <v>72476.529372037505</v>
      </c>
      <c r="E122" s="54">
        <f t="shared" si="32"/>
        <v>60397.107810031266</v>
      </c>
      <c r="F122" s="54">
        <f t="shared" si="32"/>
        <v>64423.581664033343</v>
      </c>
      <c r="G122" s="54">
        <f t="shared" si="32"/>
        <v>64423.581664033351</v>
      </c>
      <c r="H122" s="54"/>
    </row>
    <row r="123" spans="1:11">
      <c r="A123" s="107" t="s">
        <v>157</v>
      </c>
      <c r="B123" s="54"/>
      <c r="C123" s="54"/>
      <c r="D123" s="54"/>
      <c r="E123" s="54"/>
      <c r="F123" s="54"/>
      <c r="G123" s="54"/>
      <c r="H123" s="54"/>
    </row>
    <row r="124" spans="1:11">
      <c r="A124" s="63" t="s">
        <v>139</v>
      </c>
      <c r="B124" s="98">
        <f>0.67*B116+0.33*B122</f>
        <v>107153.95444189614</v>
      </c>
      <c r="C124" s="98">
        <f>0.67*C116+0.33*C122</f>
        <v>67362.847008794124</v>
      </c>
      <c r="D124" s="98">
        <f>0.67*D116+0.33*D122</f>
        <v>103248.77497937306</v>
      </c>
      <c r="E124" s="98">
        <f>0.67*E116+0.33*E122</f>
        <v>248298.45442805139</v>
      </c>
      <c r="F124" s="98">
        <f>0.67*F116+0.33*F122</f>
        <v>246124.80133454289</v>
      </c>
      <c r="G124" s="98">
        <f t="shared" ref="G124" si="33">0.67*G116+0.33*G122</f>
        <v>233562.15707353863</v>
      </c>
      <c r="H124" s="98"/>
    </row>
    <row r="125" spans="1:11">
      <c r="A125" s="63" t="s">
        <v>140</v>
      </c>
      <c r="B125" s="98">
        <f>0.67*B117+0.33*B122</f>
        <v>39387.251538847748</v>
      </c>
      <c r="C125" s="98">
        <f>0.67*C117+0.33*C122</f>
        <v>27067.067374770369</v>
      </c>
      <c r="D125" s="98">
        <f>0.67*D117+0.33*D122</f>
        <v>50275.845714188523</v>
      </c>
      <c r="E125" s="98">
        <f>0.67*E117+0.33*E122</f>
        <v>95808.113239329061</v>
      </c>
      <c r="F125" s="98">
        <f>0.67*F117+0.33*F122</f>
        <v>95973.150098259895</v>
      </c>
      <c r="G125" s="98">
        <f t="shared" ref="G125" si="34">0.67*G117+0.33*G122</f>
        <v>91799.101737317542</v>
      </c>
      <c r="H125" s="98"/>
    </row>
    <row r="126" spans="1:11">
      <c r="A126" s="107" t="s">
        <v>183</v>
      </c>
      <c r="B126" s="98"/>
      <c r="C126" s="2">
        <f>G32</f>
        <v>0.84497487437185925</v>
      </c>
      <c r="D126" s="98"/>
      <c r="E126" s="98"/>
      <c r="F126" s="98"/>
      <c r="G126" s="98"/>
      <c r="H126" s="98"/>
    </row>
    <row r="127" spans="1:11">
      <c r="A127" s="107" t="s">
        <v>262</v>
      </c>
      <c r="B127" s="98"/>
      <c r="C127" s="2">
        <f>F32</f>
        <v>0.8949748743718593</v>
      </c>
      <c r="D127" s="98"/>
      <c r="E127" s="98"/>
      <c r="F127" s="98"/>
      <c r="G127" s="98"/>
      <c r="H127" s="98"/>
    </row>
    <row r="128" spans="1:11">
      <c r="A128" s="123" t="s">
        <v>237</v>
      </c>
      <c r="B128" s="123"/>
      <c r="C128" s="123"/>
      <c r="D128" s="123"/>
      <c r="E128" s="123"/>
      <c r="F128" s="123"/>
    </row>
    <row r="129" spans="1:10">
      <c r="A129" s="123" t="s">
        <v>238</v>
      </c>
      <c r="B129" s="123"/>
      <c r="C129" s="123"/>
      <c r="D129" s="123"/>
      <c r="E129" s="123"/>
      <c r="F129" s="123"/>
    </row>
    <row r="130" spans="1:10">
      <c r="A130" s="116" t="s">
        <v>185</v>
      </c>
      <c r="B130" s="107"/>
      <c r="C130" s="2">
        <f>Data!G19-0.15</f>
        <v>0.82</v>
      </c>
      <c r="D130" s="107"/>
      <c r="E130" s="107"/>
      <c r="F130" s="107"/>
    </row>
    <row r="131" spans="1:10">
      <c r="A131" s="123" t="s">
        <v>239</v>
      </c>
      <c r="B131" s="123"/>
      <c r="C131" s="123"/>
      <c r="D131" s="123"/>
      <c r="E131" s="123"/>
      <c r="F131" s="123"/>
    </row>
    <row r="132" spans="1:10">
      <c r="A132" s="123" t="s">
        <v>158</v>
      </c>
      <c r="B132" s="123"/>
      <c r="C132" s="123"/>
      <c r="D132" s="123"/>
      <c r="E132" s="123"/>
      <c r="F132" s="123"/>
    </row>
    <row r="133" spans="1:10">
      <c r="B133" s="2"/>
    </row>
    <row r="134" spans="1:10">
      <c r="A134" s="108" t="s">
        <v>271</v>
      </c>
      <c r="B134" s="108"/>
      <c r="C134" s="108"/>
      <c r="D134" s="108"/>
      <c r="E134" s="108"/>
      <c r="F134" s="108"/>
      <c r="G134" s="6"/>
    </row>
    <row r="135" spans="1:10">
      <c r="A135" t="s">
        <v>244</v>
      </c>
      <c r="B135" s="40" t="s">
        <v>3</v>
      </c>
      <c r="C135" s="40" t="s">
        <v>4</v>
      </c>
      <c r="D135" s="40" t="s">
        <v>2</v>
      </c>
      <c r="E135" s="40" t="s">
        <v>1</v>
      </c>
      <c r="F135" s="40" t="s">
        <v>5</v>
      </c>
      <c r="G135" s="62" t="s">
        <v>0</v>
      </c>
    </row>
    <row r="136" spans="1:10">
      <c r="A136" t="s">
        <v>56</v>
      </c>
      <c r="B136" s="42">
        <v>0</v>
      </c>
      <c r="C136" s="42">
        <v>0</v>
      </c>
      <c r="D136" s="42">
        <v>0</v>
      </c>
      <c r="E136" s="42">
        <v>0</v>
      </c>
      <c r="F136" s="42">
        <f>F36*$B$26/2200</f>
        <v>2537.4514683502703</v>
      </c>
      <c r="G136" s="42">
        <f>G36*$C$26/2200</f>
        <v>5054.6395174907902</v>
      </c>
    </row>
    <row r="137" spans="1:10">
      <c r="A137" t="s">
        <v>57</v>
      </c>
      <c r="B137" s="42">
        <v>0</v>
      </c>
      <c r="C137" s="42">
        <v>0</v>
      </c>
      <c r="D137" s="42">
        <v>0</v>
      </c>
      <c r="E137" s="42">
        <v>0</v>
      </c>
      <c r="F137" s="42">
        <f>F37*$B$26/2200</f>
        <v>270.69948286723826</v>
      </c>
      <c r="G137" s="42">
        <f>G37*$C$26/2200</f>
        <v>541.08540775994186</v>
      </c>
      <c r="H137" s="27"/>
      <c r="I137" s="27"/>
      <c r="J137" s="27"/>
    </row>
    <row r="138" spans="1:10">
      <c r="A138" t="s">
        <v>58</v>
      </c>
      <c r="B138" s="42">
        <v>0</v>
      </c>
      <c r="C138" s="42">
        <v>0</v>
      </c>
      <c r="D138" s="42">
        <v>0</v>
      </c>
      <c r="E138" s="42">
        <v>0</v>
      </c>
      <c r="F138" s="42">
        <f>F136+F137</f>
        <v>2808.1509512175085</v>
      </c>
      <c r="G138" s="42">
        <f>G136+G137</f>
        <v>5595.7249252507318</v>
      </c>
      <c r="H138" s="17"/>
    </row>
    <row r="139" spans="1:10">
      <c r="A139" t="s">
        <v>134</v>
      </c>
      <c r="B139" s="6">
        <f>B138*$B$45</f>
        <v>0</v>
      </c>
      <c r="C139" s="6">
        <f>C138*$B$45</f>
        <v>0</v>
      </c>
      <c r="D139" s="6">
        <f>D138*$B$45</f>
        <v>0</v>
      </c>
      <c r="E139" s="6">
        <f>E138*$B$45</f>
        <v>0</v>
      </c>
      <c r="F139" s="6">
        <f>F138*$B$5</f>
        <v>140407.54756087542</v>
      </c>
      <c r="G139" s="6">
        <f>G138*$B$5</f>
        <v>279786.24626253662</v>
      </c>
      <c r="H139" s="2"/>
    </row>
    <row r="140" spans="1:10">
      <c r="A140" t="s">
        <v>135</v>
      </c>
      <c r="B140" s="6">
        <v>0</v>
      </c>
      <c r="C140" s="6">
        <v>0</v>
      </c>
      <c r="D140" s="6">
        <v>0</v>
      </c>
      <c r="E140" s="6">
        <f>E38*(Data!F45+Data!F72)</f>
        <v>73713.531200000012</v>
      </c>
      <c r="F140" s="6">
        <f>F38*B67</f>
        <v>173022.264</v>
      </c>
      <c r="G140" s="6">
        <f>G38*C67</f>
        <v>161392.04999999999</v>
      </c>
      <c r="H140" s="18"/>
      <c r="I140" s="18"/>
      <c r="J140" s="18"/>
    </row>
    <row r="141" spans="1:10">
      <c r="A141" t="s">
        <v>136</v>
      </c>
      <c r="B141" s="6">
        <f t="shared" ref="B141:D141" si="35">B91</f>
        <v>204525.6700060624</v>
      </c>
      <c r="C141" s="6">
        <f t="shared" si="35"/>
        <v>229319.12200688888</v>
      </c>
      <c r="D141" s="6">
        <f t="shared" si="35"/>
        <v>228394.81823203713</v>
      </c>
      <c r="E141" s="6">
        <f>E91</f>
        <v>692206.96796798799</v>
      </c>
      <c r="F141" s="6">
        <f>F91</f>
        <v>111512.48977481923</v>
      </c>
      <c r="G141" s="6">
        <f>G91</f>
        <v>316869.21660359349</v>
      </c>
      <c r="H141" s="7"/>
    </row>
    <row r="142" spans="1:10">
      <c r="A142" t="s">
        <v>159</v>
      </c>
      <c r="B142" s="6">
        <f>Data!E82*B38</f>
        <v>10827.36</v>
      </c>
      <c r="C142" s="6">
        <f>Data!E84*C38</f>
        <v>19307.916000000005</v>
      </c>
      <c r="D142" s="6">
        <v>0</v>
      </c>
      <c r="E142" s="6">
        <f>-Data!F116</f>
        <v>5230.1569014867118</v>
      </c>
      <c r="F142" s="6">
        <v>0</v>
      </c>
      <c r="G142" s="6">
        <v>0</v>
      </c>
      <c r="H142" s="6"/>
      <c r="I142" s="2"/>
      <c r="J142" s="2"/>
    </row>
    <row r="143" spans="1:10">
      <c r="A143" s="14" t="s">
        <v>137</v>
      </c>
      <c r="B143" s="6">
        <f>SUM(B139:B142)</f>
        <v>215353.03000606241</v>
      </c>
      <c r="C143" s="6">
        <f t="shared" ref="C143:F143" si="36">SUM(C139:C142)</f>
        <v>248627.03800688888</v>
      </c>
      <c r="D143" s="6">
        <f t="shared" si="36"/>
        <v>228394.81823203713</v>
      </c>
      <c r="E143" s="6">
        <f t="shared" si="36"/>
        <v>771150.65606947464</v>
      </c>
      <c r="F143" s="6">
        <f t="shared" si="36"/>
        <v>424942.30133569462</v>
      </c>
      <c r="G143" s="6">
        <f>SUM(G139:G142)</f>
        <v>758047.5128661301</v>
      </c>
      <c r="H143" s="6"/>
    </row>
    <row r="144" spans="1:10">
      <c r="A144" s="14" t="s">
        <v>203</v>
      </c>
      <c r="B144" s="6">
        <f t="shared" ref="B144:G144" si="37">B143/B38</f>
        <v>59.669124331156191</v>
      </c>
      <c r="C144" s="6">
        <f t="shared" si="37"/>
        <v>101.72789234500615</v>
      </c>
      <c r="D144" s="6">
        <f t="shared" si="37"/>
        <v>69.774668603142118</v>
      </c>
      <c r="E144" s="6">
        <f t="shared" si="37"/>
        <v>96.454598405679903</v>
      </c>
      <c r="F144" s="6">
        <f t="shared" si="37"/>
        <v>53.899327921828338</v>
      </c>
      <c r="G144" s="6">
        <f t="shared" si="37"/>
        <v>101.80600495113217</v>
      </c>
    </row>
    <row r="145" spans="1:14">
      <c r="A145" s="107" t="s">
        <v>184</v>
      </c>
      <c r="B145" s="107"/>
      <c r="C145" s="107"/>
      <c r="D145" s="107"/>
      <c r="E145" s="107"/>
      <c r="F145" s="107"/>
      <c r="G145" s="2"/>
      <c r="H145" s="2"/>
    </row>
    <row r="146" spans="1:14">
      <c r="A146" t="s">
        <v>201</v>
      </c>
      <c r="G146" s="109"/>
      <c r="H146" s="105"/>
    </row>
    <row r="147" spans="1:14">
      <c r="G147" s="42"/>
      <c r="H147" s="109"/>
    </row>
    <row r="148" spans="1:14">
      <c r="A148" s="108" t="s">
        <v>278</v>
      </c>
      <c r="B148" s="108"/>
      <c r="C148" s="108"/>
      <c r="D148" s="108"/>
      <c r="E148" s="108"/>
      <c r="F148" s="108"/>
      <c r="G148" s="42"/>
      <c r="H148" s="109"/>
      <c r="I148" s="120" t="s">
        <v>303</v>
      </c>
    </row>
    <row r="149" spans="1:14">
      <c r="A149" t="s">
        <v>240</v>
      </c>
      <c r="B149" s="109" t="s">
        <v>3</v>
      </c>
      <c r="C149" s="109" t="s">
        <v>4</v>
      </c>
      <c r="D149" s="109" t="s">
        <v>2</v>
      </c>
      <c r="E149" s="109" t="s">
        <v>1</v>
      </c>
      <c r="F149" s="109" t="s">
        <v>5</v>
      </c>
      <c r="G149" s="119" t="s">
        <v>0</v>
      </c>
      <c r="H149" s="109"/>
      <c r="I149" t="s">
        <v>240</v>
      </c>
      <c r="J149" s="121" t="s">
        <v>3</v>
      </c>
      <c r="K149" s="121" t="s">
        <v>4</v>
      </c>
      <c r="L149" s="121" t="s">
        <v>2</v>
      </c>
      <c r="M149" s="121" t="s">
        <v>1</v>
      </c>
      <c r="N149" s="121" t="s">
        <v>5</v>
      </c>
    </row>
    <row r="150" spans="1:14">
      <c r="A150" t="s">
        <v>241</v>
      </c>
      <c r="B150" s="6">
        <f t="shared" ref="B150:G150" si="38">B43</f>
        <v>170896.47956728347</v>
      </c>
      <c r="C150" s="6">
        <f t="shared" si="38"/>
        <v>112029.30358739279</v>
      </c>
      <c r="D150" s="6">
        <f t="shared" si="38"/>
        <v>149383.43953773801</v>
      </c>
      <c r="E150" s="6">
        <f t="shared" si="38"/>
        <v>380140.51738121628</v>
      </c>
      <c r="F150" s="6">
        <f t="shared" si="38"/>
        <v>374717.65469843824</v>
      </c>
      <c r="G150" s="6">
        <f t="shared" si="38"/>
        <v>353869.03935085185</v>
      </c>
      <c r="H150" s="109"/>
      <c r="I150" t="s">
        <v>241</v>
      </c>
      <c r="J150" s="6">
        <f>B150</f>
        <v>170896.47956728347</v>
      </c>
      <c r="K150" s="6">
        <f t="shared" ref="K150:K155" si="39">C150</f>
        <v>112029.30358739279</v>
      </c>
      <c r="L150" s="6">
        <f t="shared" ref="L150:L155" si="40">D150</f>
        <v>149383.43953773801</v>
      </c>
      <c r="M150" s="6">
        <f t="shared" ref="M150:M155" si="41">E150</f>
        <v>380140.51738121628</v>
      </c>
      <c r="N150" s="6">
        <f t="shared" ref="N150:N155" si="42">F150</f>
        <v>374717.65469843824</v>
      </c>
    </row>
    <row r="151" spans="1:14">
      <c r="A151" t="s">
        <v>242</v>
      </c>
      <c r="B151" s="6">
        <f t="shared" ref="B151:G151" si="43">B74</f>
        <v>112538.51128819895</v>
      </c>
      <c r="C151" s="6">
        <f t="shared" si="43"/>
        <v>82438.463755414443</v>
      </c>
      <c r="D151" s="6">
        <f t="shared" si="43"/>
        <v>111518.78004578297</v>
      </c>
      <c r="E151" s="6">
        <f t="shared" si="43"/>
        <v>246654.59674526687</v>
      </c>
      <c r="F151" s="6">
        <f t="shared" si="43"/>
        <v>243478.86326686217</v>
      </c>
      <c r="G151" s="6">
        <f t="shared" si="43"/>
        <v>230004.40782932553</v>
      </c>
      <c r="H151" s="109"/>
      <c r="I151" t="s">
        <v>242</v>
      </c>
      <c r="J151" s="6">
        <f t="shared" ref="J151:J155" si="44">B151</f>
        <v>112538.51128819895</v>
      </c>
      <c r="K151" s="6">
        <f t="shared" si="39"/>
        <v>82438.463755414443</v>
      </c>
      <c r="L151" s="6">
        <f t="shared" si="40"/>
        <v>111518.78004578297</v>
      </c>
      <c r="M151" s="6">
        <f t="shared" si="41"/>
        <v>246654.59674526687</v>
      </c>
      <c r="N151" s="6">
        <f t="shared" si="42"/>
        <v>243478.86326686217</v>
      </c>
    </row>
    <row r="152" spans="1:14">
      <c r="A152" t="s">
        <v>243</v>
      </c>
      <c r="B152" s="6">
        <f t="shared" ref="B152:G152" si="45">B124</f>
        <v>107153.95444189614</v>
      </c>
      <c r="C152" s="6">
        <f t="shared" si="45"/>
        <v>67362.847008794124</v>
      </c>
      <c r="D152" s="6">
        <f t="shared" si="45"/>
        <v>103248.77497937306</v>
      </c>
      <c r="E152" s="6">
        <f t="shared" si="45"/>
        <v>248298.45442805139</v>
      </c>
      <c r="F152" s="6">
        <f t="shared" si="45"/>
        <v>246124.80133454289</v>
      </c>
      <c r="G152" s="6">
        <f t="shared" si="45"/>
        <v>233562.15707353863</v>
      </c>
      <c r="H152" s="109"/>
      <c r="I152" t="s">
        <v>243</v>
      </c>
      <c r="J152" s="6">
        <f t="shared" si="44"/>
        <v>107153.95444189614</v>
      </c>
      <c r="K152" s="6">
        <f t="shared" si="39"/>
        <v>67362.847008794124</v>
      </c>
      <c r="L152" s="6">
        <f t="shared" si="40"/>
        <v>103248.77497937306</v>
      </c>
      <c r="M152" s="6">
        <f t="shared" si="41"/>
        <v>248298.45442805139</v>
      </c>
      <c r="N152" s="6">
        <f t="shared" si="42"/>
        <v>246124.80133454289</v>
      </c>
    </row>
    <row r="153" spans="1:14">
      <c r="A153" s="14" t="s">
        <v>138</v>
      </c>
      <c r="B153" s="6">
        <f t="shared" ref="B153:F153" si="46">SUM(B150:B152)</f>
        <v>390588.94529737858</v>
      </c>
      <c r="C153" s="6">
        <f t="shared" si="46"/>
        <v>261830.61435160134</v>
      </c>
      <c r="D153" s="6">
        <f t="shared" si="46"/>
        <v>364150.99456289405</v>
      </c>
      <c r="E153" s="6">
        <f t="shared" si="46"/>
        <v>875093.56855453458</v>
      </c>
      <c r="F153" s="6">
        <f t="shared" si="46"/>
        <v>864321.3192998434</v>
      </c>
      <c r="G153" s="6">
        <f t="shared" ref="G153" si="47">SUM(G150:G152)</f>
        <v>817435.60425371595</v>
      </c>
      <c r="H153" s="109"/>
      <c r="I153" s="14" t="s">
        <v>138</v>
      </c>
      <c r="J153" s="6">
        <f t="shared" si="44"/>
        <v>390588.94529737858</v>
      </c>
      <c r="K153" s="6">
        <f t="shared" si="39"/>
        <v>261830.61435160134</v>
      </c>
      <c r="L153" s="6">
        <f t="shared" si="40"/>
        <v>364150.99456289405</v>
      </c>
      <c r="M153" s="6">
        <f t="shared" si="41"/>
        <v>875093.56855453458</v>
      </c>
      <c r="N153" s="6">
        <f t="shared" si="42"/>
        <v>864321.3192998434</v>
      </c>
    </row>
    <row r="154" spans="1:14">
      <c r="A154" s="14" t="s">
        <v>137</v>
      </c>
      <c r="B154" s="6">
        <f>-B143</f>
        <v>-215353.03000606241</v>
      </c>
      <c r="C154" s="6">
        <f t="shared" ref="C154:F154" si="48">-C143</f>
        <v>-248627.03800688888</v>
      </c>
      <c r="D154" s="6">
        <f t="shared" si="48"/>
        <v>-228394.81823203713</v>
      </c>
      <c r="E154" s="6">
        <f t="shared" si="48"/>
        <v>-771150.65606947464</v>
      </c>
      <c r="F154" s="6">
        <f t="shared" si="48"/>
        <v>-424942.30133569462</v>
      </c>
      <c r="G154" s="6">
        <f t="shared" ref="G154" si="49">-G143</f>
        <v>-758047.5128661301</v>
      </c>
      <c r="H154" s="6"/>
      <c r="I154" t="s">
        <v>304</v>
      </c>
    </row>
    <row r="155" spans="1:14">
      <c r="A155" s="14" t="s">
        <v>60</v>
      </c>
      <c r="B155" s="6">
        <f t="shared" ref="B155:F155" si="50">B153+B154</f>
        <v>175235.91529131617</v>
      </c>
      <c r="C155" s="6">
        <f t="shared" si="50"/>
        <v>13203.576344712463</v>
      </c>
      <c r="D155" s="6">
        <f t="shared" si="50"/>
        <v>135756.17633085692</v>
      </c>
      <c r="E155" s="6">
        <f t="shared" si="50"/>
        <v>103942.91248505993</v>
      </c>
      <c r="F155" s="6">
        <f t="shared" si="50"/>
        <v>439379.01796414878</v>
      </c>
      <c r="G155" s="6">
        <f t="shared" ref="G155" si="51">G153+G154</f>
        <v>59388.091387585853</v>
      </c>
      <c r="H155" s="6"/>
      <c r="I155" t="s">
        <v>305</v>
      </c>
      <c r="J155" s="6">
        <f>B139</f>
        <v>0</v>
      </c>
      <c r="K155" s="6">
        <f t="shared" ref="K155:N155" si="52">C139</f>
        <v>0</v>
      </c>
      <c r="L155" s="6">
        <f t="shared" si="52"/>
        <v>0</v>
      </c>
      <c r="M155" s="6">
        <f t="shared" si="52"/>
        <v>0</v>
      </c>
      <c r="N155" s="6">
        <f t="shared" si="52"/>
        <v>140407.54756087542</v>
      </c>
    </row>
    <row r="156" spans="1:14">
      <c r="H156" s="6"/>
      <c r="I156" t="s">
        <v>306</v>
      </c>
      <c r="J156" s="6">
        <f t="shared" ref="J156:J158" si="53">B140</f>
        <v>0</v>
      </c>
      <c r="K156" s="6">
        <f t="shared" ref="K156:K158" si="54">C140</f>
        <v>0</v>
      </c>
      <c r="L156" s="6">
        <f t="shared" ref="L156:L158" si="55">D140</f>
        <v>0</v>
      </c>
      <c r="M156" s="6">
        <f t="shared" ref="M156:M158" si="56">E140</f>
        <v>73713.531200000012</v>
      </c>
      <c r="N156" s="6">
        <f t="shared" ref="N156:N158" si="57">F140</f>
        <v>173022.264</v>
      </c>
    </row>
    <row r="157" spans="1:14">
      <c r="A157" s="122" t="s">
        <v>279</v>
      </c>
      <c r="B157" s="122"/>
      <c r="C157" s="122"/>
      <c r="D157" s="122"/>
      <c r="E157" s="122"/>
      <c r="F157" s="122"/>
      <c r="H157" s="6"/>
      <c r="I157" t="s">
        <v>307</v>
      </c>
      <c r="J157" s="6">
        <f t="shared" si="53"/>
        <v>204525.6700060624</v>
      </c>
      <c r="K157" s="6">
        <f t="shared" si="54"/>
        <v>229319.12200688888</v>
      </c>
      <c r="L157" s="6">
        <f t="shared" si="55"/>
        <v>228394.81823203713</v>
      </c>
      <c r="M157" s="6">
        <f t="shared" si="56"/>
        <v>692206.96796798799</v>
      </c>
      <c r="N157" s="6">
        <f t="shared" si="57"/>
        <v>111512.48977481923</v>
      </c>
    </row>
    <row r="158" spans="1:14">
      <c r="A158" t="s">
        <v>240</v>
      </c>
      <c r="B158" s="92" t="s">
        <v>3</v>
      </c>
      <c r="C158" s="92" t="s">
        <v>4</v>
      </c>
      <c r="D158" s="92" t="s">
        <v>2</v>
      </c>
      <c r="E158" s="92" t="s">
        <v>1</v>
      </c>
      <c r="F158" s="92" t="s">
        <v>5</v>
      </c>
      <c r="G158" s="119" t="s">
        <v>0</v>
      </c>
      <c r="I158" t="s">
        <v>308</v>
      </c>
      <c r="J158" s="6">
        <f t="shared" si="53"/>
        <v>10827.36</v>
      </c>
      <c r="K158" s="6">
        <f t="shared" si="54"/>
        <v>19307.916000000005</v>
      </c>
      <c r="L158" s="6">
        <f t="shared" si="55"/>
        <v>0</v>
      </c>
      <c r="M158" s="6">
        <f t="shared" si="56"/>
        <v>5230.1569014867118</v>
      </c>
      <c r="N158" s="6">
        <f t="shared" si="57"/>
        <v>0</v>
      </c>
    </row>
    <row r="159" spans="1:14">
      <c r="A159" t="s">
        <v>241</v>
      </c>
      <c r="B159" s="6">
        <f t="shared" ref="B159:G159" si="58">B53</f>
        <v>79234.168930504253</v>
      </c>
      <c r="C159" s="6">
        <f t="shared" si="58"/>
        <v>57524.596822340252</v>
      </c>
      <c r="D159" s="6">
        <f t="shared" si="58"/>
        <v>77731.420336032752</v>
      </c>
      <c r="E159" s="6">
        <f t="shared" si="58"/>
        <v>173879.67799603275</v>
      </c>
      <c r="F159" s="6">
        <f t="shared" si="58"/>
        <v>171620.16421057819</v>
      </c>
      <c r="G159" s="6">
        <f t="shared" si="58"/>
        <v>162118.09591719852</v>
      </c>
      <c r="I159" s="14" t="s">
        <v>137</v>
      </c>
      <c r="J159" s="6">
        <f>-B154</f>
        <v>215353.03000606241</v>
      </c>
      <c r="K159" s="6">
        <f t="shared" ref="K159:N159" si="59">-C154</f>
        <v>248627.03800688888</v>
      </c>
      <c r="L159" s="6">
        <f t="shared" si="59"/>
        <v>228394.81823203713</v>
      </c>
      <c r="M159" s="6">
        <f t="shared" si="59"/>
        <v>771150.65606947464</v>
      </c>
      <c r="N159" s="6">
        <f t="shared" si="59"/>
        <v>424942.30133569462</v>
      </c>
    </row>
    <row r="160" spans="1:14">
      <c r="A160" t="s">
        <v>242</v>
      </c>
      <c r="B160" s="6">
        <f t="shared" ref="B160:G160" si="60">B80</f>
        <v>111375.3579648</v>
      </c>
      <c r="C160" s="6">
        <f t="shared" si="60"/>
        <v>81746.823643200012</v>
      </c>
      <c r="D160" s="6">
        <f t="shared" si="60"/>
        <v>110609.54828320001</v>
      </c>
      <c r="E160" s="6">
        <f t="shared" si="60"/>
        <v>244037.23984960004</v>
      </c>
      <c r="F160" s="6">
        <f t="shared" si="60"/>
        <v>240901.64784000002</v>
      </c>
      <c r="G160" s="6">
        <f t="shared" si="60"/>
        <v>227571.17496000003</v>
      </c>
      <c r="H160" s="105"/>
      <c r="I160" s="14" t="s">
        <v>60</v>
      </c>
      <c r="J160" s="6">
        <f>B155</f>
        <v>175235.91529131617</v>
      </c>
      <c r="K160" s="6">
        <f>C155</f>
        <v>13203.576344712463</v>
      </c>
      <c r="L160" s="6">
        <f>D155</f>
        <v>135756.17633085692</v>
      </c>
      <c r="M160" s="6">
        <f>E155</f>
        <v>103942.91248505993</v>
      </c>
      <c r="N160" s="6">
        <f>F155</f>
        <v>439379.01796414878</v>
      </c>
    </row>
    <row r="161" spans="1:8">
      <c r="A161" t="s">
        <v>243</v>
      </c>
      <c r="B161" s="6">
        <f t="shared" ref="B161:G161" si="61">B125</f>
        <v>39387.251538847748</v>
      </c>
      <c r="C161" s="6">
        <f t="shared" si="61"/>
        <v>27067.067374770369</v>
      </c>
      <c r="D161" s="6">
        <f t="shared" si="61"/>
        <v>50275.845714188523</v>
      </c>
      <c r="E161" s="6">
        <f t="shared" si="61"/>
        <v>95808.113239329061</v>
      </c>
      <c r="F161" s="6">
        <f t="shared" si="61"/>
        <v>95973.150098259895</v>
      </c>
      <c r="G161" s="6">
        <f t="shared" si="61"/>
        <v>91799.101737317542</v>
      </c>
      <c r="H161" s="6"/>
    </row>
    <row r="162" spans="1:8">
      <c r="A162" s="14" t="s">
        <v>138</v>
      </c>
      <c r="B162" s="6">
        <f t="shared" ref="B162:F162" si="62">SUM(B159:B161)</f>
        <v>229996.77843415202</v>
      </c>
      <c r="C162" s="6">
        <f t="shared" si="62"/>
        <v>166338.48784031061</v>
      </c>
      <c r="D162" s="6">
        <f t="shared" si="62"/>
        <v>238616.81433342129</v>
      </c>
      <c r="E162" s="6">
        <f t="shared" si="62"/>
        <v>513725.03108496184</v>
      </c>
      <c r="F162" s="6">
        <f t="shared" si="62"/>
        <v>508494.96214883809</v>
      </c>
      <c r="G162" s="6">
        <f t="shared" ref="G162" si="63">SUM(G159:G161)</f>
        <v>481488.37261451606</v>
      </c>
      <c r="H162" s="6"/>
    </row>
    <row r="163" spans="1:8">
      <c r="A163" s="14" t="s">
        <v>137</v>
      </c>
      <c r="B163" s="6">
        <f>-B143</f>
        <v>-215353.03000606241</v>
      </c>
      <c r="C163" s="6">
        <f t="shared" ref="C163:F163" si="64">-C143</f>
        <v>-248627.03800688888</v>
      </c>
      <c r="D163" s="6">
        <f t="shared" si="64"/>
        <v>-228394.81823203713</v>
      </c>
      <c r="E163" s="6">
        <f t="shared" si="64"/>
        <v>-771150.65606947464</v>
      </c>
      <c r="F163" s="6">
        <f t="shared" si="64"/>
        <v>-424942.30133569462</v>
      </c>
      <c r="G163" s="6">
        <f t="shared" ref="G163" si="65">-G143</f>
        <v>-758047.5128661301</v>
      </c>
      <c r="H163" s="6"/>
    </row>
    <row r="164" spans="1:8">
      <c r="A164" s="14" t="s">
        <v>60</v>
      </c>
      <c r="B164" s="6">
        <f t="shared" ref="B164:F164" si="66">B162+B163</f>
        <v>14643.748428089602</v>
      </c>
      <c r="C164" s="6">
        <f t="shared" si="66"/>
        <v>-82288.550166578265</v>
      </c>
      <c r="D164" s="6">
        <f t="shared" si="66"/>
        <v>10221.996101384168</v>
      </c>
      <c r="E164" s="6">
        <f t="shared" si="66"/>
        <v>-257425.6249845128</v>
      </c>
      <c r="F164" s="6">
        <f t="shared" si="66"/>
        <v>83552.660813143477</v>
      </c>
      <c r="G164" s="6">
        <f t="shared" ref="G164" si="67">G162+G163</f>
        <v>-276559.14025161404</v>
      </c>
      <c r="H164" s="6"/>
    </row>
    <row r="165" spans="1:8">
      <c r="G165" s="6"/>
      <c r="H165" s="6"/>
    </row>
    <row r="166" spans="1:8">
      <c r="G166" s="6"/>
      <c r="H166" s="6"/>
    </row>
    <row r="169" spans="1:8">
      <c r="G169" s="92"/>
      <c r="H169" s="105"/>
    </row>
    <row r="170" spans="1:8">
      <c r="G170" s="6"/>
      <c r="H170" s="6"/>
    </row>
    <row r="171" spans="1:8">
      <c r="G171" s="6"/>
      <c r="H171" s="6"/>
    </row>
    <row r="172" spans="1:8">
      <c r="G172" s="6"/>
      <c r="H172" s="6"/>
    </row>
    <row r="173" spans="1:8">
      <c r="G173" s="6"/>
      <c r="H173" s="6"/>
    </row>
    <row r="174" spans="1:8">
      <c r="G174" s="6"/>
      <c r="H174" s="6"/>
    </row>
    <row r="175" spans="1:8">
      <c r="G175" s="6"/>
      <c r="H175" s="6"/>
    </row>
    <row r="177" spans="1:10">
      <c r="B177" s="122"/>
      <c r="C177" s="123"/>
      <c r="D177" s="123"/>
      <c r="E177" s="123"/>
      <c r="F177" s="123"/>
      <c r="G177" s="123"/>
      <c r="H177" s="123"/>
      <c r="I177" s="123"/>
      <c r="J177" s="107"/>
    </row>
    <row r="178" spans="1:10">
      <c r="A178" s="14"/>
      <c r="B178" s="125"/>
      <c r="C178" s="125"/>
      <c r="D178" s="124"/>
      <c r="E178" s="124"/>
      <c r="F178" s="124"/>
      <c r="G178" s="124"/>
      <c r="H178" s="124"/>
      <c r="I178" s="124"/>
      <c r="J178" s="106"/>
    </row>
    <row r="179" spans="1:10">
      <c r="A179" s="89"/>
      <c r="B179" s="90"/>
      <c r="C179" s="90"/>
      <c r="D179" s="90"/>
      <c r="E179" s="90"/>
      <c r="F179" s="92"/>
      <c r="G179" s="92"/>
      <c r="H179" s="92"/>
    </row>
    <row r="180" spans="1:10">
      <c r="A180" s="92"/>
      <c r="B180" s="2"/>
      <c r="C180" s="2"/>
      <c r="D180" s="6"/>
      <c r="E180" s="6"/>
      <c r="F180" s="6"/>
      <c r="G180" s="6"/>
      <c r="H180" s="6"/>
    </row>
    <row r="181" spans="1:10">
      <c r="B181" s="2"/>
      <c r="C181" s="2"/>
      <c r="D181" s="6"/>
      <c r="E181" s="6"/>
      <c r="F181" s="6"/>
      <c r="G181" s="6"/>
      <c r="H181" s="6"/>
    </row>
    <row r="182" spans="1:10">
      <c r="B182" s="2"/>
      <c r="C182" s="2"/>
      <c r="D182" s="6"/>
      <c r="E182" s="6"/>
      <c r="F182" s="6"/>
      <c r="G182" s="6"/>
      <c r="H182" s="6"/>
    </row>
    <row r="183" spans="1:10">
      <c r="B183" s="2"/>
      <c r="D183" s="6"/>
      <c r="E183" s="6"/>
      <c r="F183" s="6"/>
      <c r="G183" s="6"/>
      <c r="H183" s="6"/>
    </row>
    <row r="184" spans="1:10">
      <c r="B184" s="122"/>
      <c r="C184" s="123"/>
      <c r="D184" s="123"/>
      <c r="E184" s="123"/>
      <c r="F184" s="123"/>
      <c r="G184" s="123"/>
      <c r="H184" s="123"/>
      <c r="I184" s="123"/>
      <c r="J184" s="107"/>
    </row>
    <row r="185" spans="1:10">
      <c r="B185" s="125"/>
      <c r="C185" s="123"/>
      <c r="D185" s="124"/>
      <c r="E185" s="123"/>
      <c r="F185" s="123"/>
      <c r="G185" s="123"/>
      <c r="H185" s="123"/>
      <c r="I185" s="123"/>
      <c r="J185" s="107"/>
    </row>
    <row r="186" spans="1:10">
      <c r="B186" s="97"/>
      <c r="C186" s="97"/>
      <c r="D186" s="97"/>
      <c r="E186" s="97"/>
      <c r="F186" s="96"/>
      <c r="G186" s="96"/>
      <c r="H186" s="96"/>
    </row>
    <row r="187" spans="1:10">
      <c r="B187" s="2"/>
      <c r="C187" s="2"/>
      <c r="D187" s="6"/>
      <c r="E187" s="6"/>
      <c r="F187" s="6"/>
      <c r="G187" s="6"/>
      <c r="H187" s="6"/>
    </row>
    <row r="188" spans="1:10">
      <c r="B188" s="2"/>
      <c r="C188" s="2"/>
      <c r="D188" s="6"/>
      <c r="E188" s="6"/>
      <c r="F188" s="6"/>
      <c r="G188" s="6"/>
      <c r="H188" s="6"/>
    </row>
    <row r="189" spans="1:10">
      <c r="B189" s="2"/>
      <c r="C189" s="2"/>
      <c r="D189" s="6"/>
      <c r="E189" s="6"/>
      <c r="F189" s="6"/>
      <c r="G189" s="6"/>
      <c r="H189" s="6"/>
    </row>
    <row r="190" spans="1:10">
      <c r="B190" s="2"/>
      <c r="D190" s="6"/>
      <c r="E190" s="6"/>
      <c r="F190" s="6"/>
      <c r="G190" s="6"/>
      <c r="H190" s="6"/>
    </row>
    <row r="192" spans="1:10">
      <c r="A192" s="89"/>
      <c r="B192" s="95"/>
      <c r="C192" s="88"/>
      <c r="D192" s="88"/>
      <c r="E192" s="88"/>
      <c r="F192" s="88"/>
      <c r="G192" s="88"/>
      <c r="H192" s="103"/>
    </row>
    <row r="193" spans="1:8">
      <c r="B193" s="96"/>
      <c r="C193" s="92"/>
      <c r="D193" s="92"/>
      <c r="E193" s="92"/>
      <c r="F193" s="92"/>
      <c r="G193" s="92"/>
      <c r="H193" s="92"/>
    </row>
    <row r="194" spans="1:8">
      <c r="B194" s="5"/>
      <c r="C194" s="99"/>
      <c r="D194" s="99"/>
      <c r="E194" s="99"/>
      <c r="F194" s="99"/>
      <c r="G194" s="99"/>
      <c r="H194" s="99"/>
    </row>
    <row r="195" spans="1:8">
      <c r="B195" s="5"/>
      <c r="C195" s="6"/>
      <c r="D195" s="6"/>
      <c r="E195" s="6"/>
      <c r="F195" s="6"/>
      <c r="G195" s="6"/>
      <c r="H195" s="6"/>
    </row>
    <row r="196" spans="1:8">
      <c r="B196" s="5"/>
      <c r="C196" s="6"/>
      <c r="D196" s="6"/>
      <c r="E196" s="6"/>
      <c r="F196" s="6"/>
      <c r="G196" s="6"/>
      <c r="H196" s="6"/>
    </row>
    <row r="197" spans="1:8">
      <c r="B197" s="5"/>
      <c r="C197" s="6"/>
      <c r="D197" s="6"/>
      <c r="E197" s="6"/>
      <c r="F197" s="6"/>
      <c r="G197" s="6"/>
      <c r="H197" s="6"/>
    </row>
    <row r="198" spans="1:8">
      <c r="B198" s="5"/>
      <c r="C198" s="6"/>
      <c r="D198" s="6"/>
      <c r="E198" s="6"/>
      <c r="F198" s="6"/>
      <c r="G198" s="6"/>
      <c r="H198" s="6"/>
    </row>
    <row r="199" spans="1:8">
      <c r="B199" s="5"/>
      <c r="C199" s="6"/>
      <c r="D199" s="6"/>
      <c r="E199" s="6"/>
      <c r="F199" s="6"/>
      <c r="G199" s="6"/>
      <c r="H199" s="6"/>
    </row>
    <row r="200" spans="1:8">
      <c r="C200" s="6"/>
      <c r="D200" s="6"/>
      <c r="E200" s="6"/>
      <c r="F200" s="6"/>
      <c r="G200" s="6"/>
      <c r="H200" s="6"/>
    </row>
    <row r="201" spans="1:8">
      <c r="A201" s="5"/>
      <c r="B201" s="6"/>
      <c r="C201" s="6"/>
      <c r="D201" s="6"/>
      <c r="E201" s="6"/>
      <c r="F201" s="6"/>
      <c r="G201" s="6"/>
      <c r="H201" s="6"/>
    </row>
    <row r="202" spans="1:8">
      <c r="A202" s="89"/>
      <c r="B202" s="95"/>
      <c r="C202" s="89"/>
      <c r="D202" s="89"/>
      <c r="E202" s="89"/>
      <c r="F202" s="89"/>
      <c r="G202" s="89"/>
      <c r="H202" s="104"/>
    </row>
    <row r="203" spans="1:8">
      <c r="B203" s="96"/>
      <c r="C203" s="92"/>
      <c r="D203" s="92"/>
      <c r="E203" s="92"/>
      <c r="F203" s="92"/>
      <c r="G203" s="92"/>
      <c r="H203" s="92"/>
    </row>
    <row r="204" spans="1:8">
      <c r="B204" s="5"/>
      <c r="C204" s="6"/>
      <c r="D204" s="6"/>
      <c r="E204" s="6"/>
      <c r="F204" s="6"/>
      <c r="G204" s="6"/>
      <c r="H204" s="6"/>
    </row>
    <row r="205" spans="1:8">
      <c r="B205" s="5"/>
      <c r="C205" s="6"/>
      <c r="D205" s="6"/>
      <c r="E205" s="6"/>
      <c r="F205" s="6"/>
      <c r="G205" s="6"/>
      <c r="H205" s="6"/>
    </row>
    <row r="206" spans="1:8">
      <c r="B206" s="5"/>
      <c r="C206" s="6"/>
      <c r="D206" s="6"/>
      <c r="E206" s="6"/>
      <c r="F206" s="6"/>
      <c r="G206" s="6"/>
      <c r="H206" s="6"/>
    </row>
    <row r="207" spans="1:8">
      <c r="B207" s="5"/>
      <c r="C207" s="6"/>
      <c r="D207" s="6"/>
      <c r="E207" s="6"/>
      <c r="F207" s="6"/>
      <c r="G207" s="6"/>
      <c r="H207" s="6"/>
    </row>
    <row r="208" spans="1:8">
      <c r="B208" s="5"/>
      <c r="C208" s="6"/>
      <c r="D208" s="6"/>
      <c r="E208" s="6"/>
      <c r="F208" s="6"/>
      <c r="G208" s="6"/>
      <c r="H208" s="6"/>
    </row>
    <row r="209" spans="2:10">
      <c r="B209" s="5"/>
      <c r="C209" s="6"/>
      <c r="D209" s="6"/>
      <c r="E209" s="6"/>
      <c r="F209" s="6"/>
      <c r="G209" s="6"/>
      <c r="H209" s="6"/>
    </row>
    <row r="210" spans="2:10">
      <c r="B210" s="14"/>
      <c r="C210" s="6"/>
      <c r="D210" s="6"/>
      <c r="E210" s="6"/>
      <c r="F210" s="6"/>
      <c r="G210" s="6"/>
      <c r="H210" s="6"/>
    </row>
    <row r="211" spans="2:10">
      <c r="B211" s="14"/>
      <c r="C211" s="6"/>
      <c r="D211" s="6"/>
      <c r="E211" s="6"/>
      <c r="F211" s="6"/>
      <c r="G211" s="6"/>
      <c r="H211" s="6"/>
      <c r="I211" s="6"/>
      <c r="J211" s="6"/>
    </row>
    <row r="212" spans="2:10">
      <c r="B212" s="122"/>
      <c r="C212" s="123"/>
      <c r="D212" s="123"/>
      <c r="E212" s="123"/>
      <c r="F212" s="123"/>
      <c r="G212" s="123"/>
      <c r="H212" s="103"/>
      <c r="I212" s="88"/>
      <c r="J212" s="107"/>
    </row>
    <row r="213" spans="2:10">
      <c r="B213" s="92"/>
      <c r="C213" s="92"/>
      <c r="D213" s="92"/>
      <c r="E213" s="92"/>
      <c r="F213" s="92"/>
      <c r="G213" s="92"/>
      <c r="H213" s="92"/>
    </row>
    <row r="214" spans="2:10">
      <c r="B214" s="5"/>
      <c r="C214" s="6"/>
      <c r="D214" s="6"/>
      <c r="E214" s="6"/>
      <c r="F214" s="6"/>
      <c r="G214" s="6"/>
      <c r="H214" s="6"/>
    </row>
    <row r="215" spans="2:10">
      <c r="B215" s="5"/>
      <c r="C215" s="6"/>
      <c r="D215" s="6"/>
      <c r="E215" s="6"/>
      <c r="F215" s="6"/>
      <c r="G215" s="6"/>
      <c r="H215" s="6"/>
    </row>
    <row r="216" spans="2:10">
      <c r="B216" s="5"/>
      <c r="C216" s="6"/>
      <c r="D216" s="6"/>
      <c r="E216" s="6"/>
      <c r="F216" s="6"/>
      <c r="G216" s="6"/>
      <c r="H216" s="6"/>
    </row>
    <row r="217" spans="2:10">
      <c r="B217" s="5"/>
      <c r="C217" s="6"/>
      <c r="D217" s="6"/>
      <c r="E217" s="6"/>
      <c r="F217" s="6"/>
      <c r="G217" s="6"/>
      <c r="H217" s="6"/>
    </row>
    <row r="218" spans="2:10">
      <c r="B218" s="5"/>
      <c r="C218" s="6"/>
      <c r="D218" s="6"/>
      <c r="E218" s="6"/>
      <c r="F218" s="6"/>
      <c r="G218" s="6"/>
      <c r="H218" s="6"/>
    </row>
    <row r="219" spans="2:10">
      <c r="B219" s="122"/>
      <c r="C219" s="123"/>
      <c r="D219" s="123"/>
      <c r="E219" s="123"/>
      <c r="F219" s="123"/>
      <c r="G219" s="123"/>
      <c r="H219" s="88"/>
    </row>
    <row r="220" spans="2:10">
      <c r="B220" s="92"/>
      <c r="C220" s="92"/>
      <c r="D220" s="92"/>
      <c r="E220" s="92"/>
      <c r="F220" s="92"/>
      <c r="G220" s="92"/>
      <c r="H220" s="92"/>
    </row>
    <row r="221" spans="2:10">
      <c r="B221" s="5"/>
      <c r="C221" s="6"/>
      <c r="D221" s="6"/>
      <c r="E221" s="6"/>
      <c r="F221" s="6"/>
      <c r="G221" s="6"/>
      <c r="H221" s="6"/>
    </row>
    <row r="222" spans="2:10">
      <c r="B222" s="5"/>
      <c r="C222" s="6"/>
      <c r="D222" s="6"/>
      <c r="E222" s="6"/>
      <c r="F222" s="6"/>
      <c r="G222" s="6"/>
      <c r="H222" s="6"/>
    </row>
    <row r="223" spans="2:10">
      <c r="B223" s="5"/>
      <c r="C223" s="6"/>
      <c r="D223" s="6"/>
      <c r="E223" s="6"/>
      <c r="F223" s="6"/>
      <c r="G223" s="6"/>
      <c r="H223" s="6"/>
    </row>
    <row r="224" spans="2:10">
      <c r="C224" s="6"/>
      <c r="D224" s="6"/>
      <c r="E224" s="6"/>
      <c r="F224" s="6"/>
      <c r="G224" s="6"/>
      <c r="H224" s="6"/>
    </row>
    <row r="225" spans="1:10">
      <c r="C225" s="6"/>
      <c r="D225" s="6"/>
      <c r="E225" s="6"/>
      <c r="F225" s="6"/>
      <c r="G225" s="6"/>
      <c r="H225" s="6"/>
      <c r="I225" s="6"/>
      <c r="J225" s="6"/>
    </row>
    <row r="226" spans="1:10">
      <c r="B226" s="91"/>
      <c r="C226" s="88"/>
      <c r="D226" s="88"/>
      <c r="E226" s="88"/>
      <c r="F226" s="6"/>
      <c r="G226" s="6"/>
      <c r="H226" s="6"/>
      <c r="I226" s="6"/>
      <c r="J226" s="6"/>
    </row>
    <row r="227" spans="1:10">
      <c r="C227" s="92"/>
      <c r="D227" s="92"/>
      <c r="E227" s="92"/>
      <c r="F227" s="6"/>
      <c r="G227" s="6"/>
      <c r="H227" s="6"/>
      <c r="I227" s="6"/>
      <c r="J227" s="6"/>
    </row>
    <row r="228" spans="1:10">
      <c r="C228" s="5"/>
      <c r="D228" s="5"/>
      <c r="E228" s="5"/>
      <c r="F228" s="6"/>
      <c r="G228" s="6"/>
      <c r="H228" s="6"/>
      <c r="I228" s="6"/>
      <c r="J228" s="6"/>
    </row>
    <row r="229" spans="1:10">
      <c r="C229" s="5"/>
      <c r="D229" s="5"/>
      <c r="E229" s="5"/>
      <c r="F229" s="6"/>
      <c r="G229" s="6"/>
      <c r="H229" s="6"/>
      <c r="I229" s="6"/>
      <c r="J229" s="6"/>
    </row>
    <row r="230" spans="1:10">
      <c r="C230" s="5"/>
      <c r="D230" s="5"/>
      <c r="E230" s="5"/>
      <c r="F230" s="6"/>
      <c r="G230" s="6"/>
      <c r="H230" s="6"/>
      <c r="I230" s="6"/>
      <c r="J230" s="6"/>
    </row>
    <row r="231" spans="1:10">
      <c r="C231" s="5"/>
      <c r="D231" s="5"/>
      <c r="E231" s="5"/>
      <c r="F231" s="6"/>
      <c r="G231" s="6"/>
      <c r="H231" s="6"/>
      <c r="I231" s="6"/>
      <c r="J231" s="6"/>
    </row>
    <row r="232" spans="1:10">
      <c r="C232" s="15"/>
      <c r="D232" s="15"/>
      <c r="E232" s="15"/>
      <c r="F232" s="6"/>
      <c r="G232" s="6"/>
      <c r="H232" s="6"/>
      <c r="I232" s="6"/>
      <c r="J232" s="6"/>
    </row>
    <row r="233" spans="1:10">
      <c r="C233" s="5"/>
      <c r="D233" s="5"/>
      <c r="E233" s="5"/>
      <c r="F233" s="6"/>
      <c r="G233" s="6"/>
      <c r="H233" s="6"/>
      <c r="I233" s="6"/>
      <c r="J233" s="6"/>
    </row>
    <row r="234" spans="1:10">
      <c r="C234" s="5"/>
      <c r="D234" s="5"/>
      <c r="E234" s="5"/>
      <c r="F234" s="6"/>
      <c r="G234" s="6"/>
      <c r="H234" s="6"/>
      <c r="I234" s="6"/>
      <c r="J234" s="6"/>
    </row>
    <row r="235" spans="1:10">
      <c r="B235" s="5"/>
      <c r="C235" s="5"/>
      <c r="D235" s="5"/>
      <c r="E235" s="5"/>
      <c r="F235" s="6"/>
      <c r="G235" s="6"/>
      <c r="H235" s="6"/>
      <c r="I235" s="6"/>
      <c r="J235" s="6"/>
    </row>
    <row r="236" spans="1:10">
      <c r="C236" s="6"/>
      <c r="D236" s="6"/>
      <c r="E236" s="6"/>
      <c r="F236" s="6"/>
      <c r="G236" s="6"/>
      <c r="H236" s="6"/>
      <c r="I236" s="6"/>
      <c r="J236" s="6"/>
    </row>
    <row r="237" spans="1:10">
      <c r="A237" s="89"/>
      <c r="B237" s="6"/>
      <c r="C237" s="6"/>
      <c r="D237" s="6"/>
      <c r="E237" s="6"/>
      <c r="F237" s="6"/>
      <c r="G237" s="6"/>
      <c r="H237" s="6"/>
    </row>
    <row r="238" spans="1:10">
      <c r="B238" s="62"/>
      <c r="C238" s="62"/>
      <c r="D238" s="62"/>
      <c r="E238" s="62"/>
      <c r="F238" s="62"/>
      <c r="G238" s="62"/>
      <c r="H238" s="105"/>
      <c r="I238" s="6"/>
      <c r="J238" s="6"/>
    </row>
    <row r="239" spans="1:10">
      <c r="B239" s="6"/>
      <c r="C239" s="6"/>
      <c r="D239" s="6"/>
      <c r="E239" s="6"/>
      <c r="F239" s="6"/>
      <c r="G239" s="6"/>
      <c r="H239" s="6"/>
      <c r="I239" s="6"/>
      <c r="J239" s="6"/>
    </row>
    <row r="240" spans="1:10">
      <c r="B240" s="5"/>
      <c r="C240" s="5"/>
      <c r="D240" s="5"/>
      <c r="E240" s="5"/>
      <c r="F240" s="5"/>
      <c r="G240" s="5"/>
      <c r="H240" s="5"/>
      <c r="I240" s="6"/>
      <c r="J240" s="6"/>
    </row>
    <row r="241" spans="2:11">
      <c r="B241" s="5"/>
      <c r="C241" s="5"/>
      <c r="D241" s="5"/>
      <c r="E241" s="5"/>
      <c r="F241" s="5"/>
      <c r="G241" s="5"/>
      <c r="H241" s="5"/>
      <c r="I241" s="6"/>
      <c r="J241" s="6"/>
    </row>
    <row r="242" spans="2:11">
      <c r="B242" s="6"/>
      <c r="C242" s="6"/>
      <c r="D242" s="6"/>
      <c r="E242" s="6"/>
      <c r="F242" s="6"/>
      <c r="G242" s="6"/>
      <c r="H242" s="6"/>
      <c r="I242" s="6"/>
      <c r="J242" s="6"/>
    </row>
    <row r="243" spans="2:11">
      <c r="B243" s="5"/>
      <c r="C243" s="5"/>
      <c r="D243" s="5"/>
      <c r="E243" s="5"/>
      <c r="F243" s="5"/>
      <c r="G243" s="5"/>
      <c r="H243" s="5"/>
    </row>
    <row r="244" spans="2:11">
      <c r="B244" s="5"/>
      <c r="C244" s="5"/>
      <c r="D244" s="5"/>
      <c r="E244" s="5"/>
      <c r="F244" s="5"/>
      <c r="G244" s="5"/>
      <c r="H244" s="5"/>
    </row>
    <row r="254" spans="2:11">
      <c r="K254" s="84"/>
    </row>
    <row r="270" spans="11:12">
      <c r="K270" s="88"/>
    </row>
    <row r="271" spans="11:12">
      <c r="K271" s="92"/>
      <c r="L271" s="92"/>
    </row>
    <row r="272" spans="11:12">
      <c r="K272" s="6"/>
      <c r="L272" s="6"/>
    </row>
    <row r="273" spans="11:12">
      <c r="K273" s="6"/>
      <c r="L273" s="6"/>
    </row>
    <row r="275" spans="11:12">
      <c r="K275" s="6"/>
      <c r="L275" s="6"/>
    </row>
    <row r="276" spans="11:12">
      <c r="K276" s="6"/>
      <c r="L276" s="6"/>
    </row>
    <row r="278" spans="11:12">
      <c r="K278" s="92"/>
      <c r="L278" s="92"/>
    </row>
    <row r="279" spans="11:12">
      <c r="K279" s="6"/>
      <c r="L279" s="6"/>
    </row>
    <row r="314" spans="5:12">
      <c r="E314" s="63"/>
      <c r="F314" s="63"/>
    </row>
    <row r="315" spans="5:12">
      <c r="E315" s="62"/>
      <c r="F315" s="62"/>
      <c r="G315" s="58"/>
      <c r="H315" s="105"/>
      <c r="K315" s="9"/>
      <c r="L315" s="17"/>
    </row>
    <row r="316" spans="5:12">
      <c r="E316" s="14"/>
      <c r="F316" s="6"/>
      <c r="G316" s="6"/>
      <c r="H316" s="6"/>
      <c r="K316" s="6"/>
      <c r="L316" s="6"/>
    </row>
    <row r="317" spans="5:12">
      <c r="E317" s="2"/>
      <c r="F317" s="6"/>
      <c r="G317" s="6"/>
      <c r="H317" s="6"/>
      <c r="K317" s="6"/>
      <c r="L317" s="6"/>
    </row>
    <row r="318" spans="5:12">
      <c r="E318" s="6"/>
      <c r="F318" s="6"/>
      <c r="G318" s="6"/>
      <c r="H318" s="6"/>
      <c r="K318" s="6"/>
      <c r="L318" s="6"/>
    </row>
    <row r="319" spans="5:12">
      <c r="E319" s="6"/>
      <c r="F319" s="6"/>
      <c r="G319" s="6"/>
      <c r="H319" s="6"/>
      <c r="K319" s="6"/>
      <c r="L319" s="6"/>
    </row>
    <row r="320" spans="5:12">
      <c r="E320" s="6"/>
      <c r="F320" s="6"/>
      <c r="G320" s="6"/>
      <c r="H320" s="6"/>
    </row>
    <row r="322" spans="5:12">
      <c r="E322" s="63"/>
      <c r="F322" s="63"/>
    </row>
    <row r="323" spans="5:12">
      <c r="E323" s="62"/>
      <c r="F323" s="62"/>
      <c r="G323" s="58"/>
      <c r="H323" s="105"/>
      <c r="K323" s="6"/>
      <c r="L323" s="6"/>
    </row>
    <row r="324" spans="5:12">
      <c r="E324" s="6"/>
      <c r="F324" s="6"/>
      <c r="G324" s="6"/>
      <c r="H324" s="6"/>
      <c r="K324" s="6"/>
      <c r="L324" s="6"/>
    </row>
    <row r="325" spans="5:12">
      <c r="K325" s="6"/>
      <c r="L325" s="6"/>
    </row>
    <row r="326" spans="5:12">
      <c r="K326" s="6"/>
      <c r="L326" s="6"/>
    </row>
    <row r="327" spans="5:12">
      <c r="K327" s="6"/>
      <c r="L327" s="6"/>
    </row>
    <row r="338" spans="1:10">
      <c r="B338" s="6"/>
      <c r="C338" s="6"/>
      <c r="D338" s="6"/>
      <c r="E338" s="6"/>
      <c r="F338" s="6"/>
      <c r="G338" s="6"/>
      <c r="H338" s="6"/>
    </row>
    <row r="339" spans="1:10">
      <c r="A339" s="89"/>
      <c r="B339" s="88"/>
      <c r="C339" s="88"/>
      <c r="D339" s="88"/>
      <c r="E339" s="88"/>
      <c r="F339" s="88"/>
      <c r="G339" s="6"/>
      <c r="H339" s="6"/>
    </row>
    <row r="340" spans="1:10">
      <c r="B340" s="62"/>
      <c r="C340" s="62"/>
      <c r="D340" s="62"/>
      <c r="E340" s="62"/>
    </row>
    <row r="341" spans="1:10">
      <c r="B341" s="123"/>
      <c r="C341" s="123"/>
    </row>
    <row r="345" spans="1:10">
      <c r="G345" s="6"/>
      <c r="H345" s="6"/>
      <c r="I345" s="6"/>
      <c r="J345" s="6"/>
    </row>
    <row r="346" spans="1:10">
      <c r="G346" s="6"/>
      <c r="H346" s="6"/>
      <c r="I346" s="6"/>
      <c r="J346" s="6"/>
    </row>
    <row r="349" spans="1:10">
      <c r="B349" s="9"/>
      <c r="C349" s="17"/>
    </row>
    <row r="350" spans="1:10">
      <c r="B350" s="9"/>
      <c r="C350" s="17"/>
    </row>
    <row r="353" spans="2:11">
      <c r="D353" s="6"/>
      <c r="E353" s="6"/>
      <c r="F353" s="6"/>
      <c r="G353" s="6"/>
      <c r="H353" s="6"/>
      <c r="I353" s="6"/>
      <c r="J353" s="6"/>
    </row>
    <row r="354" spans="2:11">
      <c r="D354" s="6"/>
      <c r="E354" s="6"/>
      <c r="F354" s="6"/>
      <c r="G354" s="6"/>
      <c r="H354" s="6"/>
      <c r="I354" s="6"/>
      <c r="J354" s="6"/>
    </row>
    <row r="355" spans="2:11">
      <c r="D355" s="6"/>
      <c r="E355" s="6"/>
      <c r="F355" s="6"/>
      <c r="G355" s="6"/>
      <c r="H355" s="6"/>
      <c r="I355" s="6"/>
      <c r="J355" s="6"/>
    </row>
    <row r="356" spans="2:11">
      <c r="D356" s="6"/>
      <c r="E356" s="6"/>
      <c r="F356" s="6"/>
      <c r="G356" s="6"/>
      <c r="H356" s="6"/>
      <c r="I356" s="6"/>
      <c r="J356" s="6"/>
    </row>
    <row r="357" spans="2:11">
      <c r="D357" s="6"/>
      <c r="E357" s="6"/>
      <c r="F357" s="6"/>
      <c r="G357" s="6"/>
      <c r="H357" s="6"/>
      <c r="I357" s="6"/>
      <c r="J357" s="6"/>
    </row>
    <row r="358" spans="2:11">
      <c r="D358" s="6"/>
      <c r="E358" s="6"/>
      <c r="F358" s="6"/>
      <c r="G358" s="6"/>
      <c r="H358" s="6"/>
      <c r="I358" s="6"/>
      <c r="J358" s="6"/>
    </row>
    <row r="359" spans="2:11">
      <c r="D359" s="6"/>
      <c r="E359" s="6"/>
      <c r="F359" s="6"/>
      <c r="G359" s="6"/>
      <c r="H359" s="6"/>
      <c r="I359" s="6"/>
      <c r="J359" s="6"/>
    </row>
    <row r="362" spans="2:11">
      <c r="B362" s="2"/>
      <c r="C362" s="2"/>
    </row>
    <row r="363" spans="2:11">
      <c r="B363" s="2"/>
      <c r="C363" s="2"/>
    </row>
    <row r="364" spans="2:11">
      <c r="B364" s="2"/>
      <c r="C364" s="2"/>
    </row>
    <row r="365" spans="2:11">
      <c r="E365" s="5"/>
      <c r="F365" s="29"/>
      <c r="G365" s="29"/>
      <c r="H365" s="29"/>
      <c r="I365" s="3"/>
      <c r="J365" s="3"/>
      <c r="K365" s="5"/>
    </row>
    <row r="366" spans="2:11">
      <c r="E366" s="57"/>
    </row>
    <row r="372" spans="1:11">
      <c r="I372" s="16"/>
      <c r="J372" s="16"/>
    </row>
    <row r="373" spans="1:11">
      <c r="I373" s="16"/>
      <c r="J373" s="16"/>
    </row>
    <row r="374" spans="1:11">
      <c r="I374" s="16"/>
      <c r="J374" s="16"/>
    </row>
    <row r="375" spans="1:11">
      <c r="I375" s="16"/>
      <c r="J375" s="16"/>
    </row>
    <row r="376" spans="1:11">
      <c r="A376" s="5"/>
      <c r="B376" s="2"/>
      <c r="C376" s="2"/>
      <c r="I376" s="16"/>
      <c r="J376" s="16"/>
    </row>
    <row r="377" spans="1:11">
      <c r="A377" s="46"/>
      <c r="B377" s="44"/>
      <c r="C377" s="44"/>
      <c r="D377" s="44"/>
      <c r="E377" s="44"/>
      <c r="F377" s="44"/>
    </row>
    <row r="378" spans="1:11">
      <c r="B378" s="44"/>
      <c r="C378" s="44"/>
      <c r="D378" s="44"/>
      <c r="E378" s="44"/>
      <c r="F378" s="44"/>
      <c r="G378" s="44"/>
      <c r="H378" s="105"/>
      <c r="I378" s="44"/>
      <c r="J378" s="109"/>
    </row>
    <row r="379" spans="1:11">
      <c r="A379" s="44"/>
      <c r="B379" s="44"/>
      <c r="C379" s="44"/>
      <c r="D379" s="44"/>
      <c r="E379" s="44"/>
      <c r="F379" s="44"/>
      <c r="G379" s="44"/>
      <c r="H379" s="105"/>
      <c r="I379" s="44"/>
      <c r="J379" s="109"/>
    </row>
    <row r="380" spans="1:11">
      <c r="B380" s="9"/>
      <c r="C380" s="9"/>
      <c r="D380" s="9"/>
      <c r="E380" s="9"/>
      <c r="F380" s="9"/>
      <c r="G380" s="9"/>
      <c r="H380" s="9"/>
      <c r="I380" s="9"/>
      <c r="J380" s="9"/>
    </row>
    <row r="381" spans="1:11">
      <c r="B381" s="6"/>
      <c r="C381" s="6"/>
      <c r="D381" s="6"/>
      <c r="E381" s="6"/>
      <c r="F381" s="6"/>
      <c r="G381" s="6"/>
      <c r="H381" s="6"/>
      <c r="I381" s="6"/>
      <c r="J381" s="6"/>
      <c r="K381" s="2"/>
    </row>
    <row r="382" spans="1:11">
      <c r="B382" s="54"/>
      <c r="C382" s="54"/>
      <c r="D382" s="54"/>
      <c r="E382" s="54"/>
      <c r="F382" s="54"/>
      <c r="G382" s="54"/>
      <c r="H382" s="54"/>
      <c r="I382" s="54"/>
      <c r="J382" s="54"/>
      <c r="K382" s="2"/>
    </row>
    <row r="383" spans="1:11">
      <c r="K383" s="2"/>
    </row>
    <row r="385" spans="1:10">
      <c r="A385" s="5"/>
      <c r="D385" s="5"/>
      <c r="E385" s="5"/>
      <c r="F385" s="5"/>
      <c r="G385" s="5"/>
      <c r="H385" s="5"/>
    </row>
    <row r="386" spans="1:10">
      <c r="B386" s="5"/>
      <c r="C386" s="5"/>
      <c r="G386" s="16"/>
      <c r="H386" s="16"/>
      <c r="I386" s="16"/>
      <c r="J386" s="16"/>
    </row>
    <row r="387" spans="1:10">
      <c r="A387" s="5"/>
      <c r="B387" s="5"/>
      <c r="C387" s="5"/>
      <c r="I387" s="16"/>
      <c r="J387" s="16"/>
    </row>
    <row r="388" spans="1:10">
      <c r="B388" s="5"/>
      <c r="I388" s="16"/>
      <c r="J388" s="16"/>
    </row>
    <row r="389" spans="1:10">
      <c r="C389" s="2"/>
    </row>
    <row r="390" spans="1:10">
      <c r="F390" s="16"/>
      <c r="G390" s="16"/>
      <c r="H390" s="16"/>
      <c r="I390" s="16"/>
      <c r="J390" s="16"/>
    </row>
    <row r="392" spans="1:10">
      <c r="B392" s="5"/>
      <c r="C392" s="5"/>
      <c r="D392" s="7"/>
      <c r="E392" s="2"/>
      <c r="F392" s="3"/>
      <c r="G392" s="38"/>
      <c r="H392" s="38"/>
      <c r="I392" s="5"/>
      <c r="J392" s="5"/>
    </row>
    <row r="393" spans="1:10">
      <c r="B393" s="5"/>
      <c r="C393" s="5"/>
      <c r="D393" s="7"/>
      <c r="E393" s="2"/>
      <c r="F393" s="3"/>
      <c r="G393" s="38"/>
      <c r="H393" s="38"/>
      <c r="I393" s="5"/>
      <c r="J393" s="5"/>
    </row>
    <row r="394" spans="1:10">
      <c r="B394" s="5"/>
      <c r="C394" s="5"/>
      <c r="D394" s="7"/>
      <c r="E394" s="2"/>
      <c r="F394" s="3"/>
      <c r="G394" s="38"/>
      <c r="H394" s="38"/>
      <c r="I394" s="5"/>
      <c r="J394" s="5"/>
    </row>
    <row r="395" spans="1:10">
      <c r="B395" s="5"/>
      <c r="C395" s="5"/>
      <c r="D395" s="7"/>
      <c r="E395" s="2"/>
      <c r="F395" s="3"/>
      <c r="G395" s="38"/>
      <c r="H395" s="38"/>
      <c r="I395" s="5"/>
      <c r="J395" s="5"/>
    </row>
    <row r="396" spans="1:10">
      <c r="B396" s="5"/>
      <c r="C396" s="5"/>
      <c r="D396" s="7"/>
      <c r="E396" s="2"/>
      <c r="F396" s="3"/>
      <c r="G396" s="38"/>
      <c r="H396" s="38"/>
      <c r="I396" s="5"/>
      <c r="J396" s="5"/>
    </row>
    <row r="397" spans="1:10">
      <c r="F397" s="14"/>
      <c r="G397" s="16"/>
      <c r="H397" s="16"/>
      <c r="I397" s="16"/>
      <c r="J397" s="16"/>
    </row>
    <row r="398" spans="1:10">
      <c r="D398" s="36"/>
      <c r="E398" s="16"/>
      <c r="F398" s="16"/>
      <c r="G398" s="16"/>
      <c r="H398" s="16"/>
      <c r="I398" s="16"/>
      <c r="J398" s="16"/>
    </row>
    <row r="399" spans="1:10">
      <c r="C399" s="2"/>
      <c r="E399" s="16"/>
      <c r="F399" s="16"/>
      <c r="G399" s="16"/>
      <c r="H399" s="16"/>
      <c r="I399" s="16"/>
      <c r="J399" s="16"/>
    </row>
    <row r="400" spans="1:10">
      <c r="D400" s="36"/>
      <c r="E400" s="16"/>
      <c r="F400" s="16"/>
      <c r="G400" s="16"/>
      <c r="H400" s="16"/>
      <c r="I400" s="16"/>
      <c r="J400" s="16"/>
    </row>
    <row r="401" spans="1:10">
      <c r="D401" s="36"/>
      <c r="E401" s="16"/>
    </row>
    <row r="402" spans="1:10">
      <c r="B402" s="5"/>
      <c r="C402" s="5"/>
      <c r="D402" s="39"/>
      <c r="E402" s="2"/>
      <c r="F402" s="3"/>
      <c r="G402" s="38"/>
      <c r="H402" s="38"/>
      <c r="I402" s="5"/>
      <c r="J402" s="5"/>
    </row>
    <row r="403" spans="1:10">
      <c r="B403" s="5"/>
      <c r="C403" s="5"/>
      <c r="D403" s="39"/>
      <c r="E403" s="2"/>
      <c r="F403" s="3"/>
      <c r="G403" s="38"/>
      <c r="H403" s="38"/>
      <c r="I403" s="5"/>
      <c r="J403" s="5"/>
    </row>
    <row r="404" spans="1:10">
      <c r="B404" s="5"/>
      <c r="C404" s="5"/>
      <c r="D404" s="39"/>
      <c r="E404" s="2"/>
      <c r="F404" s="3"/>
      <c r="G404" s="38"/>
      <c r="H404" s="38"/>
      <c r="I404" s="5"/>
      <c r="J404" s="5"/>
    </row>
    <row r="405" spans="1:10">
      <c r="B405" s="5"/>
      <c r="C405" s="5"/>
      <c r="D405" s="39"/>
      <c r="E405" s="2"/>
      <c r="F405" s="3"/>
      <c r="G405" s="38"/>
      <c r="H405" s="38"/>
      <c r="I405" s="5"/>
      <c r="J405" s="5"/>
    </row>
    <row r="406" spans="1:10">
      <c r="B406" s="5"/>
      <c r="C406" s="5"/>
      <c r="D406" s="39"/>
      <c r="E406" s="2"/>
      <c r="F406" s="3"/>
      <c r="G406" s="38"/>
      <c r="H406" s="38"/>
      <c r="I406" s="5"/>
      <c r="J406" s="5"/>
    </row>
    <row r="407" spans="1:10">
      <c r="F407" s="14"/>
      <c r="G407" s="16"/>
      <c r="H407" s="16"/>
      <c r="I407" s="16"/>
      <c r="J407" s="16"/>
    </row>
    <row r="408" spans="1:10">
      <c r="F408" s="14"/>
      <c r="G408" s="16"/>
      <c r="H408" s="16"/>
      <c r="I408" s="16"/>
      <c r="J408" s="16"/>
    </row>
    <row r="409" spans="1:10">
      <c r="F409" s="14"/>
      <c r="G409" s="16"/>
      <c r="H409" s="16"/>
      <c r="I409" s="16"/>
      <c r="J409" s="16"/>
    </row>
    <row r="410" spans="1:10">
      <c r="F410" s="14"/>
      <c r="G410" s="16"/>
      <c r="H410" s="16"/>
      <c r="I410" s="16"/>
      <c r="J410" s="16"/>
    </row>
    <row r="411" spans="1:10">
      <c r="F411" s="14"/>
      <c r="G411" s="16"/>
      <c r="H411" s="16"/>
      <c r="I411" s="16"/>
      <c r="J411" s="16"/>
    </row>
    <row r="412" spans="1:10">
      <c r="F412" s="14"/>
      <c r="G412" s="16"/>
      <c r="H412" s="16"/>
      <c r="I412" s="16"/>
      <c r="J412" s="16"/>
    </row>
    <row r="413" spans="1:10">
      <c r="A413" s="35"/>
      <c r="B413" s="2"/>
      <c r="C413" s="2"/>
      <c r="D413" s="5"/>
      <c r="F413" s="14"/>
      <c r="G413" s="16"/>
      <c r="H413" s="16"/>
      <c r="I413" s="16"/>
      <c r="J413" s="16"/>
    </row>
    <row r="414" spans="1:10">
      <c r="A414" s="34"/>
      <c r="B414" s="2"/>
      <c r="C414" s="2"/>
      <c r="D414" s="5"/>
      <c r="F414" s="14"/>
      <c r="G414" s="16"/>
      <c r="H414" s="16"/>
      <c r="I414" s="16"/>
      <c r="J414" s="16"/>
    </row>
    <row r="415" spans="1:10">
      <c r="B415" s="45" t="s">
        <v>7</v>
      </c>
      <c r="C415" s="45" t="s">
        <v>68</v>
      </c>
      <c r="F415" s="49"/>
      <c r="G415" s="16"/>
      <c r="H415" s="16"/>
      <c r="I415" s="16"/>
      <c r="J415" s="16"/>
    </row>
    <row r="416" spans="1:10">
      <c r="B416" s="6">
        <v>378241.09713671205</v>
      </c>
      <c r="C416" s="6">
        <v>70926.223965315614</v>
      </c>
      <c r="F416" s="14"/>
      <c r="G416" s="16"/>
      <c r="H416" s="16"/>
      <c r="I416" s="16"/>
      <c r="J416" s="16"/>
    </row>
    <row r="417" spans="1:10">
      <c r="B417" s="6">
        <v>-81533.002863288129</v>
      </c>
      <c r="C417" s="6">
        <v>126174.42396531568</v>
      </c>
      <c r="F417" s="14"/>
      <c r="G417" s="16"/>
      <c r="H417" s="16"/>
      <c r="I417" s="16"/>
      <c r="J417" s="16"/>
    </row>
    <row r="418" spans="1:10">
      <c r="B418" s="6">
        <v>-192702.26286328814</v>
      </c>
      <c r="C418" s="6">
        <v>139532.94396531559</v>
      </c>
      <c r="F418" s="14"/>
      <c r="G418" s="16"/>
      <c r="H418" s="16"/>
      <c r="I418" s="16"/>
      <c r="J418" s="16"/>
    </row>
    <row r="419" spans="1:10">
      <c r="B419" s="6">
        <v>-581794.6728632882</v>
      </c>
      <c r="C419" s="6">
        <v>186287.76396531553</v>
      </c>
      <c r="F419" s="14"/>
      <c r="G419" s="16"/>
      <c r="H419" s="16"/>
      <c r="I419" s="16"/>
      <c r="J419" s="16"/>
    </row>
    <row r="420" spans="1:10">
      <c r="A420" s="6"/>
      <c r="B420" s="6"/>
      <c r="C420" s="6"/>
      <c r="D420" s="6"/>
      <c r="F420" s="14"/>
      <c r="G420" s="16"/>
      <c r="H420" s="16"/>
      <c r="I420" s="16"/>
      <c r="J420" s="16"/>
    </row>
    <row r="421" spans="1:10">
      <c r="B421" s="6"/>
      <c r="C421" s="6"/>
      <c r="F421" s="14"/>
      <c r="G421" s="16"/>
      <c r="H421" s="16"/>
      <c r="I421" s="16"/>
      <c r="J421" s="16"/>
    </row>
    <row r="422" spans="1:10">
      <c r="B422" s="6"/>
      <c r="C422" s="6"/>
      <c r="F422" s="14"/>
      <c r="G422" s="16"/>
      <c r="H422" s="16"/>
      <c r="I422" s="16"/>
      <c r="J422" s="16"/>
    </row>
    <row r="423" spans="1:10">
      <c r="B423" s="6"/>
      <c r="C423" s="6"/>
      <c r="F423" s="14"/>
      <c r="G423" s="16"/>
      <c r="H423" s="16"/>
      <c r="I423" s="16"/>
      <c r="J423" s="16"/>
    </row>
    <row r="424" spans="1:10">
      <c r="A424" s="123"/>
      <c r="B424" s="123"/>
      <c r="C424" s="2"/>
      <c r="D424" s="5"/>
      <c r="F424" s="14"/>
      <c r="G424" s="16"/>
      <c r="H424" s="16"/>
      <c r="I424" s="16"/>
      <c r="J424" s="16"/>
    </row>
    <row r="425" spans="1:10">
      <c r="A425" s="44"/>
      <c r="B425" s="2"/>
      <c r="C425" s="2"/>
      <c r="D425" s="5"/>
      <c r="F425" s="14"/>
      <c r="G425" s="16"/>
      <c r="H425" s="16"/>
      <c r="I425" s="16"/>
      <c r="J425" s="16"/>
    </row>
    <row r="426" spans="1:10">
      <c r="B426" s="47" t="s">
        <v>7</v>
      </c>
      <c r="C426" s="47" t="s">
        <v>68</v>
      </c>
      <c r="F426" s="14"/>
      <c r="G426" s="16"/>
      <c r="H426" s="16"/>
      <c r="I426" s="16"/>
      <c r="J426" s="16"/>
    </row>
    <row r="427" spans="1:10">
      <c r="B427" s="6">
        <v>327901.61538573424</v>
      </c>
      <c r="C427" s="6">
        <v>141271.07221433788</v>
      </c>
      <c r="F427" s="14"/>
      <c r="G427" s="16"/>
      <c r="H427" s="16"/>
      <c r="I427" s="16"/>
      <c r="J427" s="16"/>
    </row>
    <row r="428" spans="1:10">
      <c r="B428" s="6">
        <v>376065.80323107447</v>
      </c>
      <c r="C428" s="6">
        <v>226397.70423895447</v>
      </c>
      <c r="F428" s="14"/>
      <c r="G428" s="16"/>
      <c r="H428" s="16"/>
      <c r="I428" s="16"/>
      <c r="J428" s="16"/>
    </row>
    <row r="429" spans="1:10">
      <c r="B429" s="6">
        <v>879020.35712042928</v>
      </c>
      <c r="C429" s="6">
        <v>1115332.598595042</v>
      </c>
      <c r="F429" s="14"/>
      <c r="G429" s="16"/>
      <c r="H429" s="16"/>
      <c r="I429" s="16"/>
      <c r="J429" s="16"/>
    </row>
    <row r="430" spans="1:10">
      <c r="A430" s="6"/>
      <c r="B430" s="6"/>
      <c r="C430" s="6"/>
      <c r="D430" s="6"/>
      <c r="F430" s="14"/>
      <c r="G430" s="16"/>
      <c r="H430" s="16"/>
      <c r="I430" s="16"/>
      <c r="J430" s="16"/>
    </row>
    <row r="431" spans="1:10">
      <c r="A431" s="19"/>
      <c r="B431" s="44"/>
      <c r="C431" s="2"/>
      <c r="D431" s="53"/>
      <c r="E431" s="44"/>
      <c r="F431" s="44"/>
    </row>
    <row r="432" spans="1:10">
      <c r="A432" t="s">
        <v>124</v>
      </c>
      <c r="G432" s="60" t="s">
        <v>129</v>
      </c>
      <c r="H432" s="105"/>
    </row>
    <row r="433" spans="1:8">
      <c r="B433" s="59" t="s">
        <v>3</v>
      </c>
      <c r="C433" s="59" t="s">
        <v>4</v>
      </c>
      <c r="D433" s="59" t="s">
        <v>2</v>
      </c>
      <c r="E433" s="59" t="s">
        <v>1</v>
      </c>
      <c r="F433" s="59" t="s">
        <v>55</v>
      </c>
      <c r="G433" s="60" t="s">
        <v>130</v>
      </c>
      <c r="H433" s="105"/>
    </row>
    <row r="434" spans="1:8">
      <c r="A434" t="s">
        <v>79</v>
      </c>
      <c r="B434" s="6" t="e">
        <f>-#REF!</f>
        <v>#REF!</v>
      </c>
      <c r="C434" s="6" t="e">
        <f>-#REF!</f>
        <v>#REF!</v>
      </c>
      <c r="D434" s="6" t="e">
        <f>-#REF!</f>
        <v>#REF!</v>
      </c>
      <c r="E434" s="6" t="e">
        <f>-#REF!</f>
        <v>#REF!</v>
      </c>
      <c r="F434" s="6">
        <f>-F317</f>
        <v>0</v>
      </c>
      <c r="G434" s="6" t="e">
        <f>-#REF!</f>
        <v>#REF!</v>
      </c>
      <c r="H434" s="6"/>
    </row>
    <row r="435" spans="1:8">
      <c r="A435" t="s">
        <v>80</v>
      </c>
      <c r="B435" s="6" t="e">
        <f>-#REF!</f>
        <v>#REF!</v>
      </c>
      <c r="C435" s="6" t="e">
        <f>-#REF!</f>
        <v>#REF!</v>
      </c>
      <c r="D435" s="6" t="e">
        <f>-#REF!</f>
        <v>#REF!</v>
      </c>
      <c r="E435" s="6" t="e">
        <f>-#REF!</f>
        <v>#REF!</v>
      </c>
      <c r="F435" s="6">
        <f>-F318</f>
        <v>0</v>
      </c>
      <c r="G435" s="6" t="e">
        <f>#REF!</f>
        <v>#REF!</v>
      </c>
      <c r="H435" s="6"/>
    </row>
    <row r="436" spans="1:8">
      <c r="A436" t="s">
        <v>125</v>
      </c>
      <c r="B436" s="6" t="e">
        <f>B434+B435-#REF!</f>
        <v>#REF!</v>
      </c>
      <c r="C436" s="6" t="e">
        <f>C434+C435-#REF!</f>
        <v>#REF!</v>
      </c>
      <c r="D436" s="6" t="e">
        <f>D434+D435-#REF!</f>
        <v>#REF!</v>
      </c>
      <c r="E436" s="6" t="e">
        <f>E434+E435-#REF!</f>
        <v>#REF!</v>
      </c>
      <c r="F436" s="6">
        <f>F434+F435-F319</f>
        <v>0</v>
      </c>
      <c r="G436" s="6" t="e">
        <f>G434+G435</f>
        <v>#REF!</v>
      </c>
      <c r="H436" s="6"/>
    </row>
    <row r="437" spans="1:8">
      <c r="A437" t="s">
        <v>81</v>
      </c>
      <c r="B437" s="4">
        <f>B38</f>
        <v>3609.12</v>
      </c>
      <c r="C437" s="4">
        <f>C38</f>
        <v>2444.0400000000004</v>
      </c>
      <c r="D437" s="4">
        <f>D38</f>
        <v>3273.3199999999997</v>
      </c>
      <c r="E437" s="4">
        <f>E38</f>
        <v>7994.96</v>
      </c>
      <c r="F437" s="4">
        <f>F38</f>
        <v>7884</v>
      </c>
      <c r="G437" s="4">
        <f>G40</f>
        <v>6574.2924304912485</v>
      </c>
      <c r="H437" s="4"/>
    </row>
    <row r="438" spans="1:8">
      <c r="A438" t="s">
        <v>88</v>
      </c>
      <c r="B438" s="28" t="e">
        <f t="shared" ref="B438:G438" si="68">B436/(B437*10)</f>
        <v>#REF!</v>
      </c>
      <c r="C438" s="28" t="e">
        <f t="shared" si="68"/>
        <v>#REF!</v>
      </c>
      <c r="D438" s="28" t="e">
        <f t="shared" si="68"/>
        <v>#REF!</v>
      </c>
      <c r="E438" s="28" t="e">
        <f t="shared" si="68"/>
        <v>#REF!</v>
      </c>
      <c r="F438" s="28">
        <f t="shared" si="68"/>
        <v>0</v>
      </c>
      <c r="G438" s="28" t="e">
        <f t="shared" si="68"/>
        <v>#REF!</v>
      </c>
      <c r="H438" s="28"/>
    </row>
    <row r="439" spans="1:8">
      <c r="B439" s="6"/>
    </row>
    <row r="440" spans="1:8">
      <c r="A440" t="s">
        <v>126</v>
      </c>
      <c r="B440" s="2"/>
      <c r="C440" s="2"/>
      <c r="D440" s="52"/>
      <c r="E440" s="52"/>
      <c r="F440" s="52"/>
      <c r="G440" s="52"/>
      <c r="H440" s="52"/>
    </row>
    <row r="441" spans="1:8">
      <c r="B441" s="59" t="s">
        <v>3</v>
      </c>
      <c r="C441" s="59" t="s">
        <v>4</v>
      </c>
      <c r="D441" s="59" t="s">
        <v>2</v>
      </c>
      <c r="E441" s="59" t="s">
        <v>1</v>
      </c>
      <c r="F441" s="59" t="s">
        <v>55</v>
      </c>
    </row>
    <row r="442" spans="1:8">
      <c r="A442" t="s">
        <v>127</v>
      </c>
      <c r="B442" s="6" t="e">
        <f>-#REF!</f>
        <v>#REF!</v>
      </c>
      <c r="C442" s="6" t="e">
        <f>-#REF!</f>
        <v>#REF!</v>
      </c>
      <c r="D442" s="6" t="e">
        <f>-#REF!</f>
        <v>#REF!</v>
      </c>
      <c r="E442" s="6" t="e">
        <f>-#REF!</f>
        <v>#REF!</v>
      </c>
      <c r="F442" s="6" t="e">
        <f>-#REF!</f>
        <v>#REF!</v>
      </c>
    </row>
    <row r="443" spans="1:8">
      <c r="A443" t="s">
        <v>128</v>
      </c>
      <c r="B443" s="6" t="e">
        <f>-#REF!</f>
        <v>#REF!</v>
      </c>
      <c r="C443" s="6" t="e">
        <f>-#REF!</f>
        <v>#REF!</v>
      </c>
      <c r="D443" s="6" t="e">
        <f>-#REF!</f>
        <v>#REF!</v>
      </c>
      <c r="E443" s="6" t="e">
        <f>-#REF!</f>
        <v>#REF!</v>
      </c>
      <c r="F443" s="6" t="e">
        <f>-#REF!</f>
        <v>#REF!</v>
      </c>
    </row>
    <row r="444" spans="1:8">
      <c r="A444" t="s">
        <v>125</v>
      </c>
      <c r="B444" s="6" t="e">
        <f>B442+B443-#REF!</f>
        <v>#REF!</v>
      </c>
      <c r="C444" s="6" t="e">
        <f>C442+C443-#REF!</f>
        <v>#REF!</v>
      </c>
      <c r="D444" s="6" t="e">
        <f>D442+D443-#REF!</f>
        <v>#REF!</v>
      </c>
      <c r="E444" s="6" t="e">
        <f>E442+E443-#REF!</f>
        <v>#REF!</v>
      </c>
      <c r="F444" s="6" t="e">
        <f>F442+F443-F319</f>
        <v>#REF!</v>
      </c>
    </row>
    <row r="445" spans="1:8">
      <c r="A445" t="s">
        <v>81</v>
      </c>
      <c r="B445" s="4">
        <f>B38</f>
        <v>3609.12</v>
      </c>
      <c r="C445" s="4">
        <f>C38</f>
        <v>2444.0400000000004</v>
      </c>
      <c r="D445" s="4">
        <f>D38</f>
        <v>3273.3199999999997</v>
      </c>
      <c r="E445" s="4">
        <f>E38</f>
        <v>7994.96</v>
      </c>
      <c r="F445" s="4">
        <f>F38</f>
        <v>7884</v>
      </c>
    </row>
    <row r="446" spans="1:8">
      <c r="A446" t="s">
        <v>88</v>
      </c>
      <c r="B446" s="28" t="e">
        <f>B444/(B445*10)</f>
        <v>#REF!</v>
      </c>
      <c r="C446" s="28" t="e">
        <f>C444/(C445*10)</f>
        <v>#REF!</v>
      </c>
      <c r="D446" s="28" t="e">
        <f>D444/(D445*10)</f>
        <v>#REF!</v>
      </c>
      <c r="E446" s="28" t="e">
        <f>E444/(E445*10)</f>
        <v>#REF!</v>
      </c>
      <c r="F446" s="28" t="e">
        <f>F444/(F445*10)</f>
        <v>#REF!</v>
      </c>
    </row>
  </sheetData>
  <mergeCells count="20">
    <mergeCell ref="B178:C178"/>
    <mergeCell ref="D178:I178"/>
    <mergeCell ref="A128:F128"/>
    <mergeCell ref="A129:F129"/>
    <mergeCell ref="A57:D57"/>
    <mergeCell ref="A12:D12"/>
    <mergeCell ref="A30:F30"/>
    <mergeCell ref="A70:F70"/>
    <mergeCell ref="A424:B424"/>
    <mergeCell ref="B341:C341"/>
    <mergeCell ref="A82:F82"/>
    <mergeCell ref="A131:F131"/>
    <mergeCell ref="A132:F132"/>
    <mergeCell ref="A157:F157"/>
    <mergeCell ref="B177:I177"/>
    <mergeCell ref="B184:I184"/>
    <mergeCell ref="D185:I185"/>
    <mergeCell ref="B212:G212"/>
    <mergeCell ref="B219:G219"/>
    <mergeCell ref="B185:C18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34"/>
  <sheetViews>
    <sheetView topLeftCell="A40" workbookViewId="0">
      <selection activeCell="C57" sqref="C57"/>
    </sheetView>
  </sheetViews>
  <sheetFormatPr defaultRowHeight="14.4"/>
  <cols>
    <col min="2" max="2" width="44.26171875" customWidth="1"/>
    <col min="3" max="3" width="11.15625" customWidth="1"/>
    <col min="4" max="4" width="11" bestFit="1" customWidth="1"/>
    <col min="5" max="5" width="12.15625" customWidth="1"/>
    <col min="6" max="6" width="10" bestFit="1" customWidth="1"/>
    <col min="7" max="7" width="10.41796875" customWidth="1"/>
    <col min="8" max="8" width="9.578125" bestFit="1" customWidth="1"/>
    <col min="9" max="9" width="11.15625" bestFit="1" customWidth="1"/>
    <col min="10" max="10" width="10.578125" bestFit="1" customWidth="1"/>
    <col min="11" max="11" width="12.15625" bestFit="1" customWidth="1"/>
    <col min="13" max="13" width="11.26171875" customWidth="1"/>
    <col min="18" max="18" width="9.41796875" customWidth="1"/>
  </cols>
  <sheetData>
    <row r="2" spans="2:16">
      <c r="B2" s="117" t="s">
        <v>210</v>
      </c>
      <c r="C2" s="117"/>
      <c r="D2" s="117"/>
    </row>
    <row r="3" spans="2:16">
      <c r="C3" s="8" t="s">
        <v>267</v>
      </c>
      <c r="D3" s="91"/>
      <c r="E3" s="91"/>
    </row>
    <row r="4" spans="2:16">
      <c r="C4" s="14" t="s">
        <v>2</v>
      </c>
      <c r="D4" s="14" t="s">
        <v>1</v>
      </c>
      <c r="F4" s="14"/>
    </row>
    <row r="5" spans="2:16">
      <c r="B5">
        <v>2015</v>
      </c>
      <c r="C5" s="2">
        <v>0.35899999999999999</v>
      </c>
      <c r="D5" s="2">
        <v>0.92200000000000004</v>
      </c>
      <c r="F5" s="14"/>
    </row>
    <row r="6" spans="2:16">
      <c r="B6">
        <v>2014</v>
      </c>
      <c r="C6" s="2">
        <v>0.373</v>
      </c>
      <c r="D6" s="2">
        <v>0.91700000000000004</v>
      </c>
      <c r="F6" s="2"/>
      <c r="H6" s="2"/>
      <c r="I6" s="2"/>
      <c r="J6" s="2"/>
      <c r="K6" s="2"/>
      <c r="M6" s="2"/>
      <c r="N6" s="2"/>
      <c r="O6" s="2"/>
      <c r="P6" s="2"/>
    </row>
    <row r="7" spans="2:16">
      <c r="B7">
        <v>2013</v>
      </c>
      <c r="C7" s="2">
        <v>0.38900000000000001</v>
      </c>
      <c r="D7" s="2">
        <v>0.89900000000000002</v>
      </c>
      <c r="F7" s="2"/>
      <c r="H7" s="2"/>
      <c r="I7" s="2"/>
      <c r="J7" s="2"/>
      <c r="K7" s="2"/>
      <c r="M7" s="2"/>
      <c r="N7" s="2"/>
      <c r="O7" s="2"/>
      <c r="P7" s="2"/>
    </row>
    <row r="8" spans="2:16">
      <c r="B8" s="14" t="s">
        <v>90</v>
      </c>
      <c r="C8" s="2">
        <f>SUM(C5:C7)/3</f>
        <v>0.37366666666666665</v>
      </c>
      <c r="D8" s="2">
        <f>SUM(D5:D7)/3</f>
        <v>0.91266666666666663</v>
      </c>
      <c r="E8" s="2"/>
      <c r="F8" s="94"/>
      <c r="H8" s="2"/>
      <c r="I8" s="2"/>
      <c r="J8" s="2"/>
      <c r="K8" s="2"/>
      <c r="M8" s="2"/>
      <c r="O8" s="2"/>
      <c r="P8" s="2"/>
    </row>
    <row r="9" spans="2:16">
      <c r="B9" s="14"/>
      <c r="C9" s="2"/>
      <c r="D9" s="2"/>
      <c r="E9" s="2"/>
      <c r="F9" s="94"/>
      <c r="H9" s="2"/>
      <c r="I9" s="2"/>
      <c r="J9" s="2"/>
      <c r="K9" s="2"/>
      <c r="M9" s="2"/>
      <c r="O9" s="2"/>
      <c r="P9" s="2"/>
    </row>
    <row r="10" spans="2:16">
      <c r="C10" s="83" t="s">
        <v>182</v>
      </c>
      <c r="D10" s="2"/>
      <c r="E10" s="2"/>
      <c r="F10" s="2"/>
      <c r="G10" s="2"/>
      <c r="H10" s="2"/>
      <c r="I10" s="2"/>
      <c r="J10" s="2"/>
    </row>
    <row r="11" spans="2:16">
      <c r="D11" s="14" t="s">
        <v>97</v>
      </c>
      <c r="E11" s="14" t="s">
        <v>97</v>
      </c>
      <c r="G11" s="43"/>
      <c r="I11" s="2"/>
      <c r="J11" s="2"/>
    </row>
    <row r="12" spans="2:16">
      <c r="D12" s="14" t="s">
        <v>3</v>
      </c>
      <c r="E12" s="14" t="s">
        <v>4</v>
      </c>
      <c r="I12" s="2"/>
      <c r="J12" s="2"/>
    </row>
    <row r="13" spans="2:16">
      <c r="C13" t="s">
        <v>27</v>
      </c>
      <c r="D13" s="2">
        <v>0.29452</v>
      </c>
      <c r="E13" s="2">
        <v>0.55801000000000001</v>
      </c>
      <c r="I13" s="2"/>
      <c r="J13" s="2"/>
    </row>
    <row r="14" spans="2:16">
      <c r="C14" t="s">
        <v>90</v>
      </c>
      <c r="D14" s="2">
        <v>0.21414</v>
      </c>
      <c r="E14" s="2">
        <v>0.17177000000000001</v>
      </c>
      <c r="I14" s="2"/>
      <c r="J14" s="2"/>
    </row>
    <row r="15" spans="2:16">
      <c r="C15" t="s">
        <v>180</v>
      </c>
      <c r="I15" s="2"/>
      <c r="J15" s="2"/>
    </row>
    <row r="16" spans="2:16">
      <c r="C16" t="s">
        <v>268</v>
      </c>
      <c r="D16" s="2">
        <f>D13-D14</f>
        <v>8.0380000000000007E-2</v>
      </c>
      <c r="E16" s="2">
        <f>E13-E14</f>
        <v>0.38624000000000003</v>
      </c>
      <c r="I16" s="2"/>
      <c r="J16" s="2"/>
    </row>
    <row r="17" spans="2:10">
      <c r="C17" s="91" t="s">
        <v>199</v>
      </c>
      <c r="D17" s="2"/>
      <c r="E17" s="2"/>
      <c r="G17" s="43"/>
      <c r="I17" s="2"/>
      <c r="J17" s="2"/>
    </row>
    <row r="18" spans="2:10">
      <c r="B18" s="112"/>
      <c r="C18" s="110" t="s">
        <v>2</v>
      </c>
      <c r="D18" s="110" t="s">
        <v>1</v>
      </c>
      <c r="E18" s="110" t="s">
        <v>5</v>
      </c>
      <c r="F18" s="14" t="s">
        <v>0</v>
      </c>
      <c r="G18" s="14" t="s">
        <v>7</v>
      </c>
      <c r="H18" s="14" t="s">
        <v>68</v>
      </c>
      <c r="I18" s="2"/>
      <c r="J18" s="2"/>
    </row>
    <row r="19" spans="2:10">
      <c r="B19" s="14" t="s">
        <v>247</v>
      </c>
      <c r="C19" s="2">
        <v>0.95</v>
      </c>
      <c r="D19" s="2">
        <v>0.95</v>
      </c>
      <c r="E19" s="41">
        <v>0.95</v>
      </c>
      <c r="F19" s="2">
        <v>0.9</v>
      </c>
      <c r="G19" s="2">
        <v>0.97</v>
      </c>
      <c r="H19" s="2">
        <v>0.9</v>
      </c>
      <c r="I19" s="2"/>
      <c r="J19" s="2"/>
    </row>
    <row r="20" spans="2:10">
      <c r="B20" s="14" t="s">
        <v>248</v>
      </c>
      <c r="C20" s="111" t="s">
        <v>6</v>
      </c>
      <c r="D20" s="111" t="s">
        <v>6</v>
      </c>
      <c r="E20" s="41">
        <v>0.9</v>
      </c>
      <c r="F20" s="2">
        <v>0.85</v>
      </c>
      <c r="G20" s="2">
        <v>0.92</v>
      </c>
      <c r="H20" s="2">
        <v>0.85</v>
      </c>
      <c r="I20" s="2"/>
      <c r="J20" s="2"/>
    </row>
    <row r="21" spans="2:10">
      <c r="B21" s="112"/>
      <c r="C21" s="82"/>
      <c r="D21" s="82"/>
      <c r="E21" s="41"/>
      <c r="F21" s="2"/>
      <c r="G21" s="2"/>
      <c r="H21" s="2"/>
      <c r="I21" s="2"/>
      <c r="J21" s="2"/>
    </row>
    <row r="22" spans="2:10">
      <c r="B22" s="8" t="s">
        <v>181</v>
      </c>
      <c r="C22" s="10"/>
      <c r="D22" s="10"/>
      <c r="E22" s="56"/>
      <c r="G22" s="2" t="s">
        <v>289</v>
      </c>
      <c r="H22" s="2"/>
      <c r="I22" s="2"/>
      <c r="J22" s="2"/>
    </row>
    <row r="23" spans="2:10">
      <c r="B23" s="8" t="s">
        <v>281</v>
      </c>
      <c r="C23" s="10"/>
      <c r="D23" s="10"/>
      <c r="E23" s="56"/>
      <c r="G23" s="2" t="s">
        <v>290</v>
      </c>
      <c r="H23" s="2"/>
      <c r="I23" s="2"/>
      <c r="J23" s="2"/>
    </row>
    <row r="24" spans="2:10">
      <c r="B24" t="s">
        <v>282</v>
      </c>
      <c r="C24" s="10"/>
      <c r="D24" s="10"/>
      <c r="F24" s="2">
        <v>0.26700000000000002</v>
      </c>
      <c r="G24" s="2"/>
      <c r="H24" s="2"/>
      <c r="J24" s="2"/>
    </row>
    <row r="25" spans="2:10">
      <c r="B25" t="s">
        <v>283</v>
      </c>
      <c r="C25" s="10"/>
      <c r="D25" s="10"/>
      <c r="F25" s="2">
        <v>0.26800000000000002</v>
      </c>
      <c r="G25" s="2">
        <f>F28-F25</f>
        <v>2.5999999999999968E-2</v>
      </c>
      <c r="H25" s="2"/>
      <c r="I25" s="23"/>
      <c r="J25" s="2"/>
    </row>
    <row r="26" spans="2:10">
      <c r="B26" t="s">
        <v>285</v>
      </c>
      <c r="C26" s="10"/>
      <c r="D26" s="10"/>
      <c r="F26" s="2">
        <v>0.24099999999999999</v>
      </c>
      <c r="G26" s="2">
        <f>F29-F26</f>
        <v>2.200000000000002E-2</v>
      </c>
      <c r="H26" s="2"/>
      <c r="I26" s="23"/>
      <c r="J26" s="2"/>
    </row>
    <row r="27" spans="2:10">
      <c r="B27" s="8" t="s">
        <v>284</v>
      </c>
      <c r="C27" s="10"/>
      <c r="D27" s="10"/>
      <c r="F27" s="2"/>
      <c r="G27" s="2"/>
      <c r="H27" s="2"/>
      <c r="I27" s="23"/>
      <c r="J27" s="2"/>
    </row>
    <row r="28" spans="2:10">
      <c r="B28" t="s">
        <v>286</v>
      </c>
      <c r="C28" s="10"/>
      <c r="D28" s="10"/>
      <c r="F28" s="2">
        <v>0.29399999999999998</v>
      </c>
      <c r="H28" s="2"/>
      <c r="I28" s="23"/>
      <c r="J28" s="2"/>
    </row>
    <row r="29" spans="2:10">
      <c r="B29" t="s">
        <v>287</v>
      </c>
      <c r="C29" s="10"/>
      <c r="D29" s="10"/>
      <c r="F29" s="2">
        <v>0.26300000000000001</v>
      </c>
      <c r="H29" s="2"/>
      <c r="I29" s="23"/>
      <c r="J29" s="2"/>
    </row>
    <row r="30" spans="2:10">
      <c r="C30" s="10"/>
      <c r="D30" s="10"/>
      <c r="F30" s="2"/>
      <c r="H30" s="2"/>
      <c r="I30" s="23"/>
      <c r="J30" s="2"/>
    </row>
    <row r="31" spans="2:10">
      <c r="B31" s="8" t="s">
        <v>288</v>
      </c>
      <c r="C31" s="10"/>
      <c r="D31" s="10"/>
      <c r="F31" s="2"/>
      <c r="H31" s="2"/>
      <c r="I31" s="23"/>
      <c r="J31" s="2"/>
    </row>
    <row r="32" spans="2:10">
      <c r="B32" s="8" t="s">
        <v>295</v>
      </c>
      <c r="C32" s="10"/>
      <c r="D32" s="10"/>
      <c r="G32" s="14" t="s">
        <v>291</v>
      </c>
      <c r="H32" s="2"/>
      <c r="I32" s="23"/>
      <c r="J32" s="2"/>
    </row>
    <row r="33" spans="2:10">
      <c r="B33" s="13" t="s">
        <v>292</v>
      </c>
      <c r="C33" s="10"/>
      <c r="D33" s="10"/>
      <c r="F33" s="2">
        <v>0.41199999999999998</v>
      </c>
      <c r="G33" s="9">
        <v>4536</v>
      </c>
      <c r="H33" s="2"/>
      <c r="I33" s="23"/>
      <c r="J33" s="2"/>
    </row>
    <row r="34" spans="2:10">
      <c r="B34" s="13" t="s">
        <v>294</v>
      </c>
      <c r="C34" s="10"/>
      <c r="D34" s="10"/>
      <c r="F34" s="2">
        <v>0.42699999999999999</v>
      </c>
      <c r="G34" s="9">
        <v>3566</v>
      </c>
      <c r="H34" s="2"/>
      <c r="I34" s="23"/>
      <c r="J34" s="2"/>
    </row>
    <row r="35" spans="2:10">
      <c r="B35" s="13" t="s">
        <v>293</v>
      </c>
      <c r="C35" s="10"/>
      <c r="D35" s="10"/>
      <c r="F35" s="2">
        <f>(0.412*4536-0.427*3566)/970</f>
        <v>0.35685567010309266</v>
      </c>
      <c r="G35" s="9">
        <f>G33-G34</f>
        <v>970</v>
      </c>
      <c r="H35" s="2"/>
      <c r="I35" s="23"/>
      <c r="J35" s="2"/>
    </row>
    <row r="36" spans="2:10">
      <c r="C36" s="10"/>
      <c r="D36" s="10"/>
      <c r="F36" s="2"/>
      <c r="H36" s="2"/>
      <c r="I36" s="2"/>
      <c r="J36" s="2"/>
    </row>
    <row r="37" spans="2:10">
      <c r="B37" s="8" t="s">
        <v>165</v>
      </c>
    </row>
    <row r="38" spans="2:10">
      <c r="B38" s="8" t="s">
        <v>249</v>
      </c>
    </row>
    <row r="39" spans="2:10">
      <c r="B39" s="8" t="s">
        <v>250</v>
      </c>
    </row>
    <row r="40" spans="2:10">
      <c r="C40" s="109" t="s">
        <v>3</v>
      </c>
      <c r="D40" s="109" t="s">
        <v>4</v>
      </c>
      <c r="E40" s="44" t="s">
        <v>2</v>
      </c>
      <c r="F40" s="44" t="s">
        <v>1</v>
      </c>
      <c r="G40" s="32" t="s">
        <v>5</v>
      </c>
      <c r="H40" s="32" t="s">
        <v>7</v>
      </c>
    </row>
    <row r="41" spans="2:10">
      <c r="B41" t="s">
        <v>299</v>
      </c>
      <c r="C41" s="109" t="s">
        <v>6</v>
      </c>
      <c r="D41" s="109" t="s">
        <v>6</v>
      </c>
      <c r="E41" s="44" t="s">
        <v>6</v>
      </c>
      <c r="F41" s="44" t="s">
        <v>6</v>
      </c>
      <c r="G41" s="12">
        <v>6300</v>
      </c>
      <c r="H41" s="12">
        <v>9800</v>
      </c>
    </row>
    <row r="42" spans="2:10">
      <c r="B42" t="s">
        <v>91</v>
      </c>
      <c r="C42" s="6">
        <v>1644</v>
      </c>
      <c r="D42" s="6">
        <v>2480</v>
      </c>
      <c r="E42" s="6">
        <v>2411</v>
      </c>
      <c r="F42" s="6">
        <v>6108</v>
      </c>
      <c r="G42" s="6">
        <v>1080</v>
      </c>
      <c r="H42" s="6">
        <v>664</v>
      </c>
    </row>
    <row r="43" spans="2:10">
      <c r="B43" t="s">
        <v>259</v>
      </c>
      <c r="C43" s="4">
        <v>3</v>
      </c>
      <c r="D43" s="4">
        <v>2</v>
      </c>
      <c r="E43" s="4">
        <v>4</v>
      </c>
      <c r="F43" s="4">
        <v>6</v>
      </c>
      <c r="G43" s="4">
        <v>3</v>
      </c>
      <c r="H43" s="4">
        <v>2</v>
      </c>
    </row>
    <row r="44" spans="2:10">
      <c r="B44" t="s">
        <v>251</v>
      </c>
      <c r="C44" s="5">
        <v>45.98</v>
      </c>
      <c r="D44" s="5">
        <v>21.33</v>
      </c>
      <c r="E44" s="5">
        <v>14.7</v>
      </c>
      <c r="F44" s="29">
        <v>98.11</v>
      </c>
      <c r="G44" s="5">
        <v>9.7799999999999994</v>
      </c>
      <c r="H44" s="5">
        <v>6.65</v>
      </c>
    </row>
    <row r="45" spans="2:10">
      <c r="B45" t="s">
        <v>92</v>
      </c>
      <c r="C45" s="5">
        <v>0</v>
      </c>
      <c r="D45" s="5">
        <v>0</v>
      </c>
      <c r="E45" s="5">
        <v>2.62</v>
      </c>
      <c r="F45" s="31">
        <v>2.14</v>
      </c>
      <c r="G45" s="5">
        <v>3.27</v>
      </c>
      <c r="H45" s="5">
        <v>10.37</v>
      </c>
    </row>
    <row r="46" spans="2:10">
      <c r="B46" t="s">
        <v>298</v>
      </c>
      <c r="C46" s="12">
        <v>5800</v>
      </c>
      <c r="D46" s="5"/>
      <c r="E46" s="5"/>
      <c r="F46" s="31"/>
      <c r="G46" s="5"/>
      <c r="H46" s="5"/>
    </row>
    <row r="47" spans="2:10">
      <c r="C47" s="5"/>
      <c r="D47" s="5"/>
      <c r="E47" s="5"/>
      <c r="F47" s="31"/>
    </row>
    <row r="48" spans="2:10">
      <c r="B48" s="8" t="s">
        <v>168</v>
      </c>
      <c r="C48" s="5"/>
      <c r="D48" s="5"/>
      <c r="E48" s="5"/>
      <c r="F48" s="5"/>
    </row>
    <row r="49" spans="2:7">
      <c r="B49" s="8" t="s">
        <v>164</v>
      </c>
      <c r="C49" s="5"/>
      <c r="D49" s="5"/>
      <c r="E49" s="5"/>
      <c r="F49" s="5"/>
    </row>
    <row r="50" spans="2:7">
      <c r="B50" s="115" t="s">
        <v>169</v>
      </c>
      <c r="C50" s="113" t="s">
        <v>0</v>
      </c>
      <c r="D50" s="5"/>
      <c r="F50" s="5"/>
    </row>
    <row r="51" spans="2:7">
      <c r="B51" t="s">
        <v>299</v>
      </c>
      <c r="C51" s="55">
        <v>8800</v>
      </c>
      <c r="D51" s="5"/>
      <c r="E51" s="113"/>
      <c r="F51" s="5"/>
    </row>
    <row r="52" spans="2:7">
      <c r="B52" t="s">
        <v>91</v>
      </c>
      <c r="C52" s="114">
        <v>2934</v>
      </c>
      <c r="D52" s="5"/>
      <c r="F52" s="5"/>
      <c r="G52" s="80"/>
    </row>
    <row r="53" spans="2:7">
      <c r="B53" t="s">
        <v>300</v>
      </c>
      <c r="C53" s="4">
        <v>4</v>
      </c>
      <c r="D53" s="5"/>
      <c r="F53" s="5"/>
      <c r="G53" s="80"/>
    </row>
    <row r="54" spans="2:7">
      <c r="B54" t="s">
        <v>251</v>
      </c>
      <c r="C54" s="56">
        <v>31.18</v>
      </c>
      <c r="D54" s="5"/>
      <c r="F54" s="5"/>
      <c r="G54" s="31"/>
    </row>
    <row r="55" spans="2:7">
      <c r="B55" t="s">
        <v>92</v>
      </c>
      <c r="C55" s="56">
        <v>4.47</v>
      </c>
      <c r="D55" s="5"/>
      <c r="F55" s="5"/>
      <c r="G55" s="31"/>
    </row>
    <row r="56" spans="2:7">
      <c r="B56" t="s">
        <v>302</v>
      </c>
      <c r="C56" s="55">
        <v>7750</v>
      </c>
      <c r="D56" s="5"/>
      <c r="F56" s="5"/>
      <c r="G56" s="31"/>
    </row>
    <row r="57" spans="2:7">
      <c r="B57" t="s">
        <v>301</v>
      </c>
      <c r="C57" s="56"/>
      <c r="D57" s="5"/>
      <c r="F57" s="5"/>
      <c r="G57" s="31"/>
    </row>
    <row r="58" spans="2:7">
      <c r="C58" s="56"/>
      <c r="D58" s="5"/>
      <c r="F58" s="5"/>
      <c r="G58" s="31"/>
    </row>
    <row r="59" spans="2:7">
      <c r="B59" s="8" t="s">
        <v>166</v>
      </c>
      <c r="C59" s="56"/>
      <c r="D59" s="5"/>
      <c r="F59" s="5"/>
      <c r="G59" s="31"/>
    </row>
    <row r="60" spans="2:7">
      <c r="B60" s="8" t="s">
        <v>168</v>
      </c>
      <c r="C60" s="56"/>
      <c r="D60" s="5"/>
      <c r="F60" s="5"/>
      <c r="G60" s="31"/>
    </row>
    <row r="61" spans="2:7">
      <c r="B61" s="8" t="s">
        <v>164</v>
      </c>
      <c r="C61" s="56"/>
      <c r="D61" s="5"/>
      <c r="F61" s="5"/>
      <c r="G61" s="31"/>
    </row>
    <row r="62" spans="2:7">
      <c r="B62" s="115" t="s">
        <v>169</v>
      </c>
      <c r="C62" s="79" t="s">
        <v>5</v>
      </c>
      <c r="D62" s="33" t="s">
        <v>0</v>
      </c>
      <c r="E62" s="79" t="s">
        <v>7</v>
      </c>
      <c r="G62" s="31"/>
    </row>
    <row r="63" spans="2:7">
      <c r="B63" t="s">
        <v>167</v>
      </c>
      <c r="C63" s="5">
        <v>3.6</v>
      </c>
      <c r="D63" s="56">
        <f>C55*(C63+E63)/(G45+H45)</f>
        <v>6.2429252199413492</v>
      </c>
      <c r="E63" s="5">
        <v>15.45</v>
      </c>
      <c r="G63" s="5"/>
    </row>
    <row r="64" spans="2:7">
      <c r="B64" t="s">
        <v>173</v>
      </c>
      <c r="C64" s="5"/>
      <c r="D64" s="5"/>
      <c r="E64" s="56"/>
      <c r="G64" s="5"/>
    </row>
    <row r="65" spans="2:12">
      <c r="B65" s="115" t="s">
        <v>170</v>
      </c>
      <c r="C65" s="76" t="s">
        <v>12</v>
      </c>
      <c r="D65" s="33" t="s">
        <v>0</v>
      </c>
      <c r="E65" s="56"/>
      <c r="G65" s="5"/>
    </row>
    <row r="66" spans="2:12">
      <c r="B66" t="s">
        <v>179</v>
      </c>
      <c r="C66" s="10">
        <v>117</v>
      </c>
      <c r="D66" s="10">
        <v>206</v>
      </c>
      <c r="E66" s="56"/>
      <c r="G66" s="5"/>
    </row>
    <row r="67" spans="2:12">
      <c r="C67" s="10"/>
      <c r="D67" s="10"/>
      <c r="E67" s="56"/>
      <c r="G67" s="5"/>
    </row>
    <row r="68" spans="2:12">
      <c r="B68" s="8" t="s">
        <v>163</v>
      </c>
    </row>
    <row r="69" spans="2:12">
      <c r="B69" s="8" t="s">
        <v>252</v>
      </c>
    </row>
    <row r="70" spans="2:12">
      <c r="C70" s="14" t="s">
        <v>5</v>
      </c>
      <c r="D70" s="14" t="s">
        <v>0</v>
      </c>
      <c r="E70" s="14" t="s">
        <v>7</v>
      </c>
      <c r="F70" s="14" t="s">
        <v>1</v>
      </c>
    </row>
    <row r="71" spans="2:12">
      <c r="B71" t="s">
        <v>253</v>
      </c>
      <c r="C71" s="55">
        <v>7658</v>
      </c>
      <c r="D71" s="55">
        <v>10080</v>
      </c>
      <c r="E71" s="55">
        <v>11378</v>
      </c>
      <c r="F71" s="33" t="s">
        <v>6</v>
      </c>
    </row>
    <row r="72" spans="2:12">
      <c r="B72" t="s">
        <v>123</v>
      </c>
      <c r="C72" s="33" t="s">
        <v>6</v>
      </c>
      <c r="D72" s="33" t="s">
        <v>6</v>
      </c>
      <c r="E72" s="33" t="s">
        <v>6</v>
      </c>
      <c r="F72" s="5">
        <v>7.08</v>
      </c>
    </row>
    <row r="73" spans="2:12">
      <c r="C73" s="33"/>
      <c r="D73" s="33"/>
      <c r="E73" s="33"/>
      <c r="F73" s="5"/>
    </row>
    <row r="74" spans="2:12">
      <c r="B74" s="8" t="s">
        <v>263</v>
      </c>
      <c r="C74" s="81"/>
      <c r="D74" s="5"/>
    </row>
    <row r="75" spans="2:12">
      <c r="B75" s="8" t="s">
        <v>272</v>
      </c>
    </row>
    <row r="76" spans="2:12">
      <c r="B76" t="s">
        <v>273</v>
      </c>
      <c r="C76" s="5">
        <v>3.22</v>
      </c>
      <c r="D76" t="s">
        <v>59</v>
      </c>
      <c r="E76" t="s">
        <v>205</v>
      </c>
    </row>
    <row r="77" spans="2:12">
      <c r="B77" t="s">
        <v>204</v>
      </c>
      <c r="C77" s="5">
        <v>2.2200000000000002</v>
      </c>
      <c r="D77" t="s">
        <v>59</v>
      </c>
      <c r="E77" t="s">
        <v>205</v>
      </c>
    </row>
    <row r="78" spans="2:12">
      <c r="C78" s="5"/>
    </row>
    <row r="79" spans="2:12">
      <c r="B79" s="8" t="s">
        <v>264</v>
      </c>
      <c r="C79" s="38"/>
      <c r="D79" s="5"/>
    </row>
    <row r="80" spans="2:12">
      <c r="B80" s="8" t="s">
        <v>186</v>
      </c>
      <c r="D80" s="2"/>
      <c r="E80" s="2"/>
      <c r="F80" s="2"/>
      <c r="G80" s="2"/>
      <c r="H80" s="2"/>
      <c r="I80" s="2"/>
      <c r="J80" s="2"/>
      <c r="L80" s="77"/>
    </row>
    <row r="81" spans="2:12">
      <c r="B81" s="80" t="s">
        <v>189</v>
      </c>
      <c r="D81" s="2"/>
      <c r="E81" s="2"/>
      <c r="F81" s="2"/>
      <c r="G81" s="2"/>
      <c r="H81" s="2"/>
      <c r="I81" s="2"/>
      <c r="J81" s="2"/>
      <c r="L81" s="77"/>
    </row>
    <row r="82" spans="2:12">
      <c r="B82" t="s">
        <v>187</v>
      </c>
      <c r="E82" s="5">
        <v>3</v>
      </c>
      <c r="F82" s="2"/>
      <c r="G82" s="2"/>
      <c r="H82" s="2"/>
      <c r="I82" s="2"/>
      <c r="J82" s="2"/>
      <c r="L82" s="77"/>
    </row>
    <row r="83" spans="2:12">
      <c r="B83" s="80" t="s">
        <v>190</v>
      </c>
      <c r="D83" s="2"/>
      <c r="F83" s="2"/>
      <c r="G83" s="2"/>
      <c r="H83" s="2"/>
      <c r="I83" s="2"/>
      <c r="J83" s="2"/>
      <c r="L83" s="77"/>
    </row>
    <row r="84" spans="2:12">
      <c r="B84" t="s">
        <v>188</v>
      </c>
      <c r="D84" s="2"/>
      <c r="E84" s="5">
        <v>7.9</v>
      </c>
      <c r="F84" s="2"/>
      <c r="G84" s="2"/>
      <c r="H84" s="2"/>
      <c r="I84" s="2"/>
      <c r="J84" s="2"/>
      <c r="L84" s="77"/>
    </row>
    <row r="85" spans="2:12">
      <c r="D85" s="2"/>
      <c r="E85" s="5"/>
      <c r="F85" s="2"/>
      <c r="G85" s="2"/>
      <c r="H85" s="2"/>
      <c r="I85" s="2"/>
      <c r="J85" s="2"/>
      <c r="L85" s="77"/>
    </row>
    <row r="86" spans="2:12">
      <c r="B86" s="8" t="s">
        <v>266</v>
      </c>
      <c r="D86" s="2"/>
      <c r="E86" s="2"/>
      <c r="F86" s="2"/>
      <c r="G86" s="2"/>
      <c r="H86" s="2"/>
      <c r="I86" s="2"/>
      <c r="J86" s="2"/>
      <c r="L86" s="77"/>
    </row>
    <row r="87" spans="2:12">
      <c r="B87" s="8" t="s">
        <v>202</v>
      </c>
      <c r="D87" s="2"/>
      <c r="E87" s="2"/>
      <c r="F87" s="2"/>
      <c r="G87" s="2"/>
      <c r="H87" s="2"/>
      <c r="I87" s="2"/>
      <c r="J87" s="2"/>
      <c r="L87" s="77"/>
    </row>
    <row r="88" spans="2:12">
      <c r="B88" s="8" t="s">
        <v>191</v>
      </c>
      <c r="D88" s="2"/>
      <c r="E88" s="2"/>
      <c r="F88" s="2"/>
      <c r="G88" s="2"/>
      <c r="H88" s="2"/>
      <c r="I88" s="2"/>
      <c r="J88" s="2"/>
      <c r="L88" s="77"/>
    </row>
    <row r="89" spans="2:12">
      <c r="B89" s="48" t="s">
        <v>192</v>
      </c>
      <c r="D89" s="2"/>
      <c r="E89" s="2"/>
      <c r="F89" s="2"/>
      <c r="G89" s="2"/>
      <c r="H89" s="2"/>
      <c r="I89" s="2"/>
      <c r="J89" s="2"/>
      <c r="L89" s="77"/>
    </row>
    <row r="90" spans="2:12">
      <c r="D90" s="2"/>
      <c r="E90" s="2"/>
      <c r="F90" s="2"/>
      <c r="G90" s="2"/>
      <c r="H90" s="2"/>
      <c r="I90" s="2"/>
      <c r="J90" s="2"/>
      <c r="L90" s="77"/>
    </row>
    <row r="91" spans="2:12">
      <c r="B91" s="8" t="s">
        <v>152</v>
      </c>
      <c r="D91" s="2"/>
      <c r="E91" s="2"/>
      <c r="F91" s="2"/>
      <c r="G91" s="2"/>
      <c r="H91" s="2"/>
      <c r="I91" s="2"/>
      <c r="J91" s="2"/>
      <c r="L91" s="77"/>
    </row>
    <row r="92" spans="2:12">
      <c r="B92" s="8" t="s">
        <v>194</v>
      </c>
      <c r="D92" s="2"/>
      <c r="E92" s="2"/>
      <c r="F92" s="2"/>
      <c r="G92" s="2"/>
      <c r="H92" s="2"/>
      <c r="I92" s="2"/>
      <c r="J92" s="2"/>
      <c r="L92" s="77"/>
    </row>
    <row r="93" spans="2:12">
      <c r="B93" s="48" t="s">
        <v>193</v>
      </c>
      <c r="D93" s="2"/>
      <c r="E93" s="2"/>
      <c r="F93" s="2"/>
      <c r="G93" s="2"/>
      <c r="H93" s="2"/>
      <c r="I93" s="2"/>
      <c r="J93" s="2"/>
      <c r="L93" s="77"/>
    </row>
    <row r="94" spans="2:12">
      <c r="E94" t="s">
        <v>196</v>
      </c>
      <c r="F94" t="s">
        <v>197</v>
      </c>
      <c r="G94" s="2"/>
      <c r="H94" s="2"/>
      <c r="I94" s="2"/>
      <c r="J94" s="2"/>
      <c r="L94" s="77"/>
    </row>
    <row r="95" spans="2:12">
      <c r="B95" t="s">
        <v>195</v>
      </c>
      <c r="E95" s="6">
        <v>300</v>
      </c>
      <c r="F95" s="6">
        <v>400</v>
      </c>
      <c r="G95" s="2"/>
      <c r="H95" s="2"/>
      <c r="I95" s="2"/>
      <c r="J95" s="2"/>
      <c r="L95" s="77"/>
    </row>
    <row r="96" spans="2:12">
      <c r="B96" t="s">
        <v>198</v>
      </c>
      <c r="E96" s="2"/>
      <c r="F96" s="6">
        <v>100</v>
      </c>
      <c r="G96" s="2"/>
      <c r="H96" s="2"/>
      <c r="I96" s="2"/>
      <c r="J96" s="2"/>
      <c r="L96" s="77"/>
    </row>
    <row r="97" spans="2:12">
      <c r="B97" t="s">
        <v>48</v>
      </c>
      <c r="E97" s="2"/>
      <c r="F97" s="6">
        <f>F95+F96</f>
        <v>500</v>
      </c>
      <c r="G97" s="2"/>
      <c r="H97" s="2"/>
      <c r="I97" s="2"/>
      <c r="J97" s="2"/>
      <c r="L97" s="77"/>
    </row>
    <row r="98" spans="2:12">
      <c r="B98" s="46" t="s">
        <v>28</v>
      </c>
      <c r="E98" s="6"/>
      <c r="F98" s="12">
        <v>1000</v>
      </c>
      <c r="G98" s="2"/>
      <c r="H98" s="2"/>
      <c r="I98" s="2"/>
      <c r="J98" s="2"/>
      <c r="L98" s="77"/>
    </row>
    <row r="99" spans="2:12">
      <c r="B99" s="46" t="s">
        <v>31</v>
      </c>
      <c r="D99" s="2"/>
      <c r="E99" s="2"/>
      <c r="F99" s="18">
        <v>40</v>
      </c>
      <c r="G99" s="2"/>
      <c r="H99" s="2"/>
      <c r="I99" s="2"/>
      <c r="J99" s="2"/>
      <c r="L99" s="77"/>
    </row>
    <row r="100" spans="2:12">
      <c r="B100" s="46" t="s">
        <v>32</v>
      </c>
      <c r="C100" s="87"/>
      <c r="D100" s="87"/>
      <c r="E100" s="87"/>
      <c r="F100" s="6">
        <f>F98*F97/(1+C103)^F99</f>
        <v>27709.675139902523</v>
      </c>
      <c r="G100" s="2"/>
      <c r="H100" s="2"/>
      <c r="I100" s="2"/>
      <c r="J100" s="2"/>
      <c r="L100" s="77"/>
    </row>
    <row r="101" spans="2:12">
      <c r="D101" s="2"/>
      <c r="E101" s="2"/>
      <c r="F101" s="6">
        <f>PMT(C103,F99,F100)</f>
        <v>-2200.1569014867118</v>
      </c>
      <c r="G101" s="2"/>
      <c r="H101" s="2"/>
      <c r="I101" s="2"/>
      <c r="J101" s="2"/>
      <c r="L101" s="77"/>
    </row>
    <row r="102" spans="2:12">
      <c r="B102" s="46" t="s">
        <v>199</v>
      </c>
      <c r="D102" s="2"/>
      <c r="E102" s="2"/>
      <c r="F102" s="2"/>
      <c r="G102" s="2"/>
      <c r="H102" s="2"/>
      <c r="I102" s="2"/>
      <c r="J102" s="2"/>
      <c r="L102" s="77"/>
    </row>
    <row r="103" spans="2:12">
      <c r="B103" s="46" t="s">
        <v>61</v>
      </c>
      <c r="C103" s="2">
        <v>7.4999999999999997E-2</v>
      </c>
      <c r="D103" s="2"/>
      <c r="E103" s="2"/>
      <c r="G103" s="2"/>
      <c r="H103" s="2"/>
      <c r="I103" s="2"/>
      <c r="J103" s="2"/>
      <c r="L103" s="77"/>
    </row>
    <row r="104" spans="2:12">
      <c r="B104" t="s">
        <v>122</v>
      </c>
      <c r="C104" s="5">
        <v>50</v>
      </c>
      <c r="D104" s="2"/>
      <c r="E104" s="2"/>
      <c r="F104" s="2"/>
      <c r="G104" s="2"/>
      <c r="H104" s="2"/>
      <c r="I104" s="2"/>
      <c r="J104" s="2"/>
      <c r="L104" s="77"/>
    </row>
    <row r="105" spans="2:12">
      <c r="B105" t="s">
        <v>174</v>
      </c>
      <c r="C105" s="12">
        <v>800</v>
      </c>
      <c r="D105" s="2"/>
      <c r="E105" s="2"/>
      <c r="F105" s="2"/>
      <c r="G105" s="2"/>
      <c r="H105" s="2"/>
      <c r="I105" s="2"/>
      <c r="J105" s="2"/>
      <c r="L105" s="77"/>
    </row>
    <row r="106" spans="2:12">
      <c r="C106" s="12"/>
      <c r="D106" s="2"/>
      <c r="E106" s="2"/>
      <c r="F106" s="2"/>
      <c r="G106" s="2"/>
      <c r="H106" s="2"/>
      <c r="I106" s="2"/>
      <c r="J106" s="2"/>
      <c r="L106" s="77"/>
    </row>
    <row r="107" spans="2:12">
      <c r="B107" s="8" t="s">
        <v>202</v>
      </c>
      <c r="C107" s="12"/>
      <c r="D107" s="2"/>
      <c r="E107" s="2"/>
      <c r="F107" s="2"/>
      <c r="G107" s="2"/>
      <c r="H107" s="2"/>
      <c r="I107" s="2"/>
      <c r="J107" s="2"/>
      <c r="L107" s="77"/>
    </row>
    <row r="108" spans="2:12">
      <c r="B108" s="8" t="s">
        <v>200</v>
      </c>
      <c r="C108" s="12"/>
      <c r="D108" s="2"/>
      <c r="E108" s="2"/>
      <c r="F108" s="2"/>
      <c r="G108" s="2"/>
      <c r="H108" s="2"/>
      <c r="I108" s="2"/>
      <c r="J108" s="2"/>
      <c r="L108" s="77"/>
    </row>
    <row r="109" spans="2:12">
      <c r="B109" s="48" t="s">
        <v>192</v>
      </c>
      <c r="C109" s="12"/>
      <c r="D109" s="2"/>
      <c r="E109" s="2"/>
      <c r="F109" s="2"/>
      <c r="G109" s="2"/>
      <c r="H109" s="2"/>
      <c r="I109" s="2"/>
      <c r="J109" s="2"/>
      <c r="L109" s="77"/>
    </row>
    <row r="110" spans="2:12">
      <c r="B110" s="46" t="s">
        <v>50</v>
      </c>
      <c r="H110" s="2"/>
      <c r="I110" s="2"/>
      <c r="J110" s="2"/>
      <c r="L110" s="77"/>
    </row>
    <row r="111" spans="2:12">
      <c r="B111" s="46" t="s">
        <v>51</v>
      </c>
      <c r="C111" s="6"/>
      <c r="D111" s="6"/>
      <c r="F111" s="6">
        <v>-830000</v>
      </c>
      <c r="H111" s="2"/>
      <c r="I111" s="2"/>
      <c r="J111" s="2"/>
      <c r="L111" s="77"/>
    </row>
    <row r="112" spans="2:12">
      <c r="B112" s="46" t="s">
        <v>52</v>
      </c>
      <c r="C112" s="6"/>
      <c r="D112" s="6"/>
      <c r="F112" s="6">
        <f>F111/1000</f>
        <v>-830</v>
      </c>
      <c r="G112" s="46"/>
      <c r="H112" s="2"/>
      <c r="I112" s="2"/>
      <c r="J112" s="2"/>
      <c r="L112" s="77"/>
    </row>
    <row r="113" spans="2:12">
      <c r="B113" s="46" t="s">
        <v>29</v>
      </c>
      <c r="C113" s="6"/>
      <c r="D113" s="6"/>
      <c r="F113" s="24">
        <v>2.2000000000000002</v>
      </c>
      <c r="H113" s="2"/>
      <c r="I113" s="2"/>
      <c r="J113" s="2"/>
      <c r="L113" s="77"/>
    </row>
    <row r="114" spans="2:12">
      <c r="B114" s="46" t="s">
        <v>53</v>
      </c>
      <c r="C114" s="6"/>
      <c r="D114" s="6"/>
      <c r="F114" s="6">
        <f>-F113*1000</f>
        <v>-2200</v>
      </c>
      <c r="H114" s="2"/>
      <c r="I114" s="2"/>
      <c r="J114" s="2"/>
      <c r="L114" s="77"/>
    </row>
    <row r="115" spans="2:12">
      <c r="B115" s="46" t="s">
        <v>30</v>
      </c>
      <c r="C115" s="87"/>
      <c r="D115" s="6"/>
      <c r="F115" s="6">
        <f>F112+F114</f>
        <v>-3030</v>
      </c>
      <c r="G115" s="6"/>
      <c r="H115" s="2"/>
      <c r="I115" s="2"/>
      <c r="J115" s="2"/>
      <c r="L115" s="77"/>
    </row>
    <row r="116" spans="2:12">
      <c r="B116" s="14" t="s">
        <v>54</v>
      </c>
      <c r="C116" s="87"/>
      <c r="D116" s="6"/>
      <c r="F116" s="6">
        <f>F101+F115</f>
        <v>-5230.1569014867118</v>
      </c>
      <c r="G116" s="6"/>
      <c r="H116" s="2"/>
      <c r="I116" s="2"/>
      <c r="J116" s="2"/>
      <c r="L116" s="77"/>
    </row>
    <row r="117" spans="2:12" ht="15.3">
      <c r="B117" s="85"/>
      <c r="C117" s="86"/>
      <c r="D117" s="85"/>
      <c r="L117" s="77"/>
    </row>
    <row r="118" spans="2:12">
      <c r="B118" s="8" t="s">
        <v>265</v>
      </c>
      <c r="E118" s="19"/>
      <c r="F118" s="19"/>
      <c r="G118" s="19"/>
      <c r="H118" s="19"/>
    </row>
    <row r="119" spans="2:12">
      <c r="B119" s="8" t="s">
        <v>274</v>
      </c>
      <c r="E119" s="19"/>
      <c r="F119" s="19"/>
      <c r="G119" s="19"/>
      <c r="H119" s="19"/>
    </row>
    <row r="120" spans="2:12">
      <c r="B120" s="8"/>
      <c r="E120" s="19"/>
      <c r="F120" s="19"/>
      <c r="G120" s="19"/>
      <c r="H120" s="19"/>
    </row>
    <row r="121" spans="2:12">
      <c r="B121" s="8" t="s">
        <v>95</v>
      </c>
      <c r="C121">
        <v>2012</v>
      </c>
      <c r="D121">
        <v>2013</v>
      </c>
      <c r="E121">
        <v>2014</v>
      </c>
    </row>
    <row r="122" spans="2:12">
      <c r="B122" t="s">
        <v>98</v>
      </c>
      <c r="C122">
        <v>172.6</v>
      </c>
      <c r="D122">
        <v>175.6</v>
      </c>
      <c r="E122">
        <v>176.1</v>
      </c>
      <c r="F122" t="s">
        <v>276</v>
      </c>
    </row>
    <row r="123" spans="2:12">
      <c r="B123" t="s">
        <v>99</v>
      </c>
      <c r="C123" s="9">
        <v>6906</v>
      </c>
      <c r="D123" s="9">
        <v>7023</v>
      </c>
      <c r="E123" s="9">
        <v>7045</v>
      </c>
      <c r="F123" t="s">
        <v>277</v>
      </c>
      <c r="I123" s="9"/>
      <c r="J123" s="9"/>
      <c r="K123" s="9"/>
    </row>
    <row r="124" spans="2:12">
      <c r="B124" t="s">
        <v>100</v>
      </c>
      <c r="C124">
        <v>35.200000000000003</v>
      </c>
      <c r="D124">
        <v>38.5</v>
      </c>
      <c r="E124">
        <v>42.4</v>
      </c>
      <c r="F124" t="s">
        <v>276</v>
      </c>
    </row>
    <row r="125" spans="2:12">
      <c r="B125" t="s">
        <v>101</v>
      </c>
      <c r="C125" s="9">
        <v>35203</v>
      </c>
      <c r="D125" s="9">
        <v>38457</v>
      </c>
      <c r="E125" s="9">
        <v>43351</v>
      </c>
      <c r="F125" t="s">
        <v>277</v>
      </c>
      <c r="I125" s="9"/>
      <c r="J125" s="9"/>
      <c r="K125" s="9"/>
    </row>
    <row r="126" spans="2:12">
      <c r="B126" t="s">
        <v>226</v>
      </c>
      <c r="C126" s="101">
        <f>C122+C124</f>
        <v>207.8</v>
      </c>
      <c r="D126" s="101">
        <f>D122+D124</f>
        <v>214.1</v>
      </c>
      <c r="E126" s="101">
        <f>E122+E124</f>
        <v>218.5</v>
      </c>
      <c r="I126" s="101"/>
      <c r="J126" s="101"/>
      <c r="K126" s="101"/>
    </row>
    <row r="128" spans="2:12">
      <c r="B128" s="8" t="s">
        <v>96</v>
      </c>
    </row>
    <row r="129" spans="2:12">
      <c r="B129" t="s">
        <v>98</v>
      </c>
      <c r="C129">
        <v>66.5</v>
      </c>
      <c r="D129">
        <v>64.599999999999994</v>
      </c>
      <c r="E129">
        <v>67.599999999999994</v>
      </c>
      <c r="F129" t="s">
        <v>276</v>
      </c>
    </row>
    <row r="130" spans="2:12">
      <c r="B130" t="s">
        <v>99</v>
      </c>
      <c r="C130" s="9">
        <v>2658</v>
      </c>
      <c r="D130" s="9">
        <v>2584</v>
      </c>
      <c r="E130" s="9">
        <v>2703</v>
      </c>
      <c r="F130" t="s">
        <v>277</v>
      </c>
      <c r="I130" s="9"/>
      <c r="J130" s="9"/>
      <c r="K130" s="9"/>
    </row>
    <row r="131" spans="2:12">
      <c r="C131" s="9"/>
      <c r="D131" s="9"/>
      <c r="E131" s="9"/>
      <c r="I131" s="9"/>
      <c r="J131" s="9"/>
      <c r="K131" s="9"/>
    </row>
    <row r="132" spans="2:12">
      <c r="B132" s="8" t="s">
        <v>275</v>
      </c>
      <c r="D132" s="3"/>
    </row>
    <row r="133" spans="2:12">
      <c r="B133" s="8" t="s">
        <v>223</v>
      </c>
      <c r="C133" s="9">
        <v>24610</v>
      </c>
      <c r="D133" s="9">
        <v>24859</v>
      </c>
      <c r="E133" s="9">
        <v>26552</v>
      </c>
      <c r="J133" s="9"/>
      <c r="K133" s="9"/>
      <c r="L133" s="9"/>
    </row>
    <row r="134" spans="2:12">
      <c r="B134" s="8" t="s">
        <v>224</v>
      </c>
      <c r="C134" s="9">
        <v>20677</v>
      </c>
      <c r="D134" s="9">
        <v>20001</v>
      </c>
      <c r="E134" s="9">
        <v>20286</v>
      </c>
      <c r="J134" s="9"/>
      <c r="K134" s="9"/>
      <c r="L134" s="9"/>
    </row>
    <row r="135" spans="2:12">
      <c r="B135" s="8"/>
      <c r="C135" s="12"/>
      <c r="D135" s="12"/>
      <c r="E135" s="12"/>
    </row>
    <row r="136" spans="2:12">
      <c r="B136" t="s">
        <v>230</v>
      </c>
    </row>
    <row r="137" spans="2:12">
      <c r="B137" t="s">
        <v>227</v>
      </c>
      <c r="C137" s="50">
        <f>1000*C126/C133</f>
        <v>8.4437220642015447</v>
      </c>
      <c r="D137" s="50">
        <f>1000*D126/D133</f>
        <v>8.6125749225632564</v>
      </c>
      <c r="E137" s="50">
        <f>1000*E126/E133</f>
        <v>8.2291352817113594</v>
      </c>
    </row>
    <row r="138" spans="2:12">
      <c r="B138" t="s">
        <v>228</v>
      </c>
      <c r="C138" s="50">
        <f>1000*C129/C134</f>
        <v>3.2161338685495964</v>
      </c>
      <c r="D138" s="50">
        <f>1000*D129/D134</f>
        <v>3.2298385080745957</v>
      </c>
      <c r="E138" s="50">
        <f>1000*E129/E134</f>
        <v>3.3323474317263138</v>
      </c>
    </row>
    <row r="140" spans="2:12">
      <c r="B140" t="s">
        <v>229</v>
      </c>
    </row>
    <row r="141" spans="2:12">
      <c r="B141" t="s">
        <v>227</v>
      </c>
      <c r="C141" s="50">
        <f>2.2*C137</f>
        <v>18.5761885412434</v>
      </c>
      <c r="D141" s="50">
        <f t="shared" ref="D141:E141" si="0">2.2*D137</f>
        <v>18.947664829639166</v>
      </c>
      <c r="E141" s="50">
        <f t="shared" si="0"/>
        <v>18.104097619764993</v>
      </c>
    </row>
    <row r="142" spans="2:12">
      <c r="B142" t="s">
        <v>228</v>
      </c>
      <c r="C142" s="50">
        <f t="shared" ref="C142:E142" si="1">2.2*C138</f>
        <v>7.0754945108091123</v>
      </c>
      <c r="D142" s="50">
        <f t="shared" si="1"/>
        <v>7.1056447177641111</v>
      </c>
      <c r="E142" s="50">
        <f t="shared" si="1"/>
        <v>7.3311643497978904</v>
      </c>
    </row>
    <row r="144" spans="2:12">
      <c r="B144" t="s">
        <v>93</v>
      </c>
      <c r="C144" s="30">
        <f>1000*C122/C123</f>
        <v>24.992759918911091</v>
      </c>
      <c r="D144" s="30">
        <f>1000*D122/D123</f>
        <v>25.00355973230813</v>
      </c>
      <c r="E144" s="30">
        <f>1000*E122/E123</f>
        <v>24.996451383960256</v>
      </c>
      <c r="I144" s="30"/>
      <c r="J144" s="30"/>
      <c r="K144" s="30"/>
    </row>
    <row r="146" spans="2:7">
      <c r="C146" t="s">
        <v>211</v>
      </c>
      <c r="D146" t="s">
        <v>212</v>
      </c>
      <c r="E146" s="100" t="s">
        <v>213</v>
      </c>
    </row>
    <row r="147" spans="2:7">
      <c r="C147" t="s">
        <v>214</v>
      </c>
      <c r="D147" t="s">
        <v>215</v>
      </c>
      <c r="E147" s="100" t="s">
        <v>216</v>
      </c>
    </row>
    <row r="148" spans="2:7">
      <c r="C148" t="s">
        <v>217</v>
      </c>
      <c r="D148" t="s">
        <v>218</v>
      </c>
      <c r="E148" s="100" t="s">
        <v>219</v>
      </c>
    </row>
    <row r="149" spans="2:7">
      <c r="C149" t="s">
        <v>220</v>
      </c>
      <c r="D149" t="s">
        <v>221</v>
      </c>
      <c r="E149" s="100" t="s">
        <v>222</v>
      </c>
    </row>
    <row r="150" spans="2:7">
      <c r="B150" s="8"/>
      <c r="C150" s="12"/>
      <c r="D150" s="12"/>
      <c r="E150" s="12"/>
    </row>
    <row r="151" spans="2:7">
      <c r="C151" s="56"/>
      <c r="F151" s="43"/>
      <c r="G151" s="43"/>
    </row>
    <row r="178" spans="12:14">
      <c r="L178" s="2"/>
      <c r="N178" s="2"/>
    </row>
    <row r="179" spans="12:14">
      <c r="L179" s="2"/>
      <c r="N179" s="2"/>
    </row>
    <row r="180" spans="12:14">
      <c r="L180" s="2"/>
      <c r="N180" s="2"/>
    </row>
    <row r="181" spans="12:14">
      <c r="L181" s="2"/>
      <c r="N181" s="2"/>
    </row>
    <row r="182" spans="12:14">
      <c r="L182" s="2"/>
      <c r="N182" s="2"/>
    </row>
    <row r="183" spans="12:14">
      <c r="L183" s="2"/>
      <c r="N183" s="2"/>
    </row>
    <row r="184" spans="12:14">
      <c r="L184" s="2"/>
      <c r="N184" s="2"/>
    </row>
    <row r="185" spans="12:14">
      <c r="L185" s="2"/>
      <c r="N185" s="2"/>
    </row>
    <row r="186" spans="12:14">
      <c r="L186" s="2"/>
      <c r="N186" s="2"/>
    </row>
    <row r="187" spans="12:14">
      <c r="L187" s="2"/>
      <c r="N187" s="2"/>
    </row>
    <row r="188" spans="12:14">
      <c r="L188" s="2"/>
      <c r="N188" s="2"/>
    </row>
    <row r="189" spans="12:14">
      <c r="L189" s="2"/>
      <c r="N189" s="2"/>
    </row>
    <row r="190" spans="12:14">
      <c r="L190" s="2"/>
      <c r="N190" s="2"/>
    </row>
    <row r="191" spans="12:14">
      <c r="L191" s="2"/>
      <c r="N191" s="2"/>
    </row>
    <row r="192" spans="12:14">
      <c r="L192" s="2"/>
      <c r="N192" s="2"/>
    </row>
    <row r="196" spans="2:8">
      <c r="C196" s="8"/>
      <c r="G196" s="12"/>
      <c r="H196" s="12"/>
    </row>
    <row r="197" spans="2:8">
      <c r="B197" t="s">
        <v>70</v>
      </c>
    </row>
    <row r="198" spans="2:8">
      <c r="B198" t="s">
        <v>71</v>
      </c>
      <c r="C198" s="5">
        <v>3.4</v>
      </c>
      <c r="D198" t="s">
        <v>59</v>
      </c>
    </row>
    <row r="199" spans="2:8">
      <c r="B199" t="s">
        <v>76</v>
      </c>
      <c r="C199" s="5">
        <v>4.33</v>
      </c>
      <c r="D199" t="s">
        <v>59</v>
      </c>
    </row>
    <row r="200" spans="2:8">
      <c r="B200" t="s">
        <v>78</v>
      </c>
      <c r="C200" s="5">
        <v>2.36</v>
      </c>
      <c r="D200" t="s">
        <v>59</v>
      </c>
    </row>
    <row r="201" spans="2:8">
      <c r="B201" t="s">
        <v>94</v>
      </c>
      <c r="C201" s="5"/>
    </row>
    <row r="202" spans="2:8">
      <c r="C202" s="5"/>
    </row>
    <row r="203" spans="2:8">
      <c r="B203" s="48" t="s">
        <v>75</v>
      </c>
      <c r="C203" s="5"/>
    </row>
    <row r="204" spans="2:8">
      <c r="B204" t="s">
        <v>89</v>
      </c>
      <c r="C204" s="5">
        <v>2.76</v>
      </c>
    </row>
    <row r="205" spans="2:8">
      <c r="B205" t="s">
        <v>72</v>
      </c>
      <c r="C205" s="5">
        <v>9.4600000000000009</v>
      </c>
    </row>
    <row r="206" spans="2:8">
      <c r="B206" t="s">
        <v>73</v>
      </c>
      <c r="C206" s="5">
        <v>11.08</v>
      </c>
    </row>
    <row r="207" spans="2:8">
      <c r="B207" t="s">
        <v>74</v>
      </c>
      <c r="C207" s="5">
        <v>16.75</v>
      </c>
    </row>
    <row r="209" spans="2:15">
      <c r="C209" s="9"/>
      <c r="D209" s="9"/>
      <c r="E209" s="9"/>
      <c r="K209" t="s">
        <v>35</v>
      </c>
      <c r="M209" t="s">
        <v>33</v>
      </c>
    </row>
    <row r="210" spans="2:15">
      <c r="B210" t="s">
        <v>14</v>
      </c>
      <c r="C210">
        <v>2012</v>
      </c>
      <c r="D210">
        <v>2011</v>
      </c>
      <c r="E210">
        <v>2008</v>
      </c>
      <c r="F210">
        <v>2012</v>
      </c>
      <c r="G210">
        <v>2011</v>
      </c>
      <c r="H210">
        <v>2008</v>
      </c>
      <c r="J210" t="s">
        <v>34</v>
      </c>
      <c r="K210" s="51" t="s">
        <v>84</v>
      </c>
      <c r="M210" t="s">
        <v>36</v>
      </c>
    </row>
    <row r="211" spans="2:15">
      <c r="B211" t="s">
        <v>0</v>
      </c>
      <c r="C211" s="16">
        <v>1514.0429999999999</v>
      </c>
      <c r="D211" s="16">
        <v>1733.43</v>
      </c>
      <c r="E211" s="22">
        <v>1985.8009999999999</v>
      </c>
      <c r="F211" s="2">
        <f t="shared" ref="F211:F221" si="2">C211/C$222</f>
        <v>0.37404419475933015</v>
      </c>
      <c r="G211" s="2">
        <f t="shared" ref="G211:G221" si="3">D211/D$222</f>
        <v>0.42277326560232936</v>
      </c>
      <c r="H211" s="2">
        <f>E211/E222</f>
        <v>0.4820621412695284</v>
      </c>
      <c r="J211">
        <v>2002</v>
      </c>
      <c r="K211" s="9">
        <v>2423963</v>
      </c>
    </row>
    <row r="212" spans="2:15">
      <c r="B212" t="s">
        <v>12</v>
      </c>
      <c r="C212" s="16">
        <v>1225.894</v>
      </c>
      <c r="D212" s="16">
        <v>1013.689</v>
      </c>
      <c r="E212" s="22">
        <v>882.98099999999999</v>
      </c>
      <c r="F212" s="2">
        <f t="shared" si="2"/>
        <v>0.30285700874433175</v>
      </c>
      <c r="G212" s="2">
        <f t="shared" si="3"/>
        <v>0.24723271711875275</v>
      </c>
      <c r="H212" s="2">
        <f>E212/E222</f>
        <v>0.21434761668480853</v>
      </c>
      <c r="J212">
        <v>2003</v>
      </c>
      <c r="K212" s="9">
        <v>2445094</v>
      </c>
    </row>
    <row r="213" spans="2:15">
      <c r="B213" t="s">
        <v>1</v>
      </c>
      <c r="C213" s="16">
        <v>769.33100000000002</v>
      </c>
      <c r="D213" s="16">
        <v>790.20399999999995</v>
      </c>
      <c r="E213" s="22"/>
      <c r="F213" s="2">
        <f t="shared" si="2"/>
        <v>0.19006315831082091</v>
      </c>
      <c r="G213" s="2">
        <f t="shared" si="3"/>
        <v>0.19272605503079041</v>
      </c>
      <c r="J213">
        <v>2004</v>
      </c>
      <c r="K213" s="9">
        <v>2486982</v>
      </c>
    </row>
    <row r="214" spans="2:15">
      <c r="B214" t="s">
        <v>2</v>
      </c>
      <c r="C214" s="16">
        <v>276.24</v>
      </c>
      <c r="D214" s="16">
        <v>319.35500000000002</v>
      </c>
      <c r="E214" s="22"/>
      <c r="F214" s="2">
        <f t="shared" si="2"/>
        <v>6.8245068574880219E-2</v>
      </c>
      <c r="G214" s="2">
        <f t="shared" si="3"/>
        <v>7.7888784800327612E-2</v>
      </c>
      <c r="J214">
        <v>2005</v>
      </c>
      <c r="K214" s="9">
        <v>2543838</v>
      </c>
    </row>
    <row r="215" spans="2:15">
      <c r="B215" t="s">
        <v>13</v>
      </c>
      <c r="C215" s="16"/>
      <c r="D215" s="16"/>
      <c r="E215" s="22"/>
      <c r="F215" s="2">
        <f t="shared" si="2"/>
        <v>0</v>
      </c>
      <c r="G215" s="2">
        <f t="shared" si="3"/>
        <v>0</v>
      </c>
      <c r="J215">
        <v>2006</v>
      </c>
      <c r="K215" s="9">
        <v>2488918</v>
      </c>
    </row>
    <row r="216" spans="2:15">
      <c r="B216" t="s">
        <v>15</v>
      </c>
      <c r="C216" s="16">
        <v>140.822</v>
      </c>
      <c r="D216" s="16">
        <v>120.17700000000001</v>
      </c>
      <c r="E216" s="22"/>
      <c r="F216" s="2">
        <f t="shared" si="2"/>
        <v>3.4790063158310826E-2</v>
      </c>
      <c r="G216" s="2">
        <f t="shared" si="3"/>
        <v>2.9310455420923334E-2</v>
      </c>
      <c r="J216">
        <v>2007</v>
      </c>
      <c r="K216" s="9">
        <v>2547032</v>
      </c>
      <c r="O216" t="s">
        <v>38</v>
      </c>
    </row>
    <row r="217" spans="2:15">
      <c r="B217" t="s">
        <v>16</v>
      </c>
      <c r="C217" s="16">
        <v>4.327</v>
      </c>
      <c r="D217" s="16">
        <v>1.8180000000000001</v>
      </c>
      <c r="E217" s="22"/>
      <c r="F217" s="2">
        <f t="shared" si="2"/>
        <v>1.0689849830709047E-3</v>
      </c>
      <c r="G217" s="2">
        <f t="shared" si="3"/>
        <v>4.4339938553332686E-4</v>
      </c>
      <c r="J217">
        <v>2008</v>
      </c>
      <c r="K217" s="9">
        <v>2484012</v>
      </c>
      <c r="M217" s="25">
        <v>8.8491666666666635</v>
      </c>
    </row>
    <row r="218" spans="2:15">
      <c r="B218" t="s">
        <v>17</v>
      </c>
      <c r="C218" s="16">
        <v>37.798999999999999</v>
      </c>
      <c r="D218" s="16">
        <v>37.448999999999998</v>
      </c>
      <c r="E218" s="22"/>
      <c r="F218" s="2">
        <f t="shared" si="2"/>
        <v>9.3382397446492085E-3</v>
      </c>
      <c r="G218" s="2">
        <f t="shared" si="3"/>
        <v>9.1335883326939243E-3</v>
      </c>
      <c r="J218">
        <v>2009</v>
      </c>
      <c r="K218" s="9">
        <v>2269508</v>
      </c>
      <c r="L218" s="19">
        <f>-(1-K218/K217)</f>
        <v>-8.635385014243091E-2</v>
      </c>
      <c r="M218" s="25">
        <v>3.8933333333333331</v>
      </c>
      <c r="N218" s="19">
        <f>-(1-M218/M217)</f>
        <v>-0.56003390149731602</v>
      </c>
    </row>
    <row r="219" spans="2:15">
      <c r="B219" t="s">
        <v>18</v>
      </c>
      <c r="C219" s="16">
        <v>19.823</v>
      </c>
      <c r="D219" s="16">
        <v>19.222000000000001</v>
      </c>
      <c r="E219" s="22"/>
      <c r="F219" s="2">
        <f t="shared" si="2"/>
        <v>4.8972704690119113E-3</v>
      </c>
      <c r="G219" s="2">
        <f t="shared" si="3"/>
        <v>4.6881314569425792E-3</v>
      </c>
      <c r="J219">
        <v>2010</v>
      </c>
      <c r="K219" s="9">
        <v>2388596</v>
      </c>
      <c r="L219" s="19">
        <f>-(1-K219/K218)</f>
        <v>5.2473047021645236E-2</v>
      </c>
      <c r="M219" s="25">
        <v>4.3888494271340894</v>
      </c>
      <c r="N219" s="19">
        <f>-(1-M219/M218)</f>
        <v>0.12727296929813958</v>
      </c>
    </row>
    <row r="220" spans="2:15">
      <c r="B220" t="s">
        <v>19</v>
      </c>
      <c r="C220" s="16">
        <v>15.561999999999999</v>
      </c>
      <c r="D220" s="16">
        <v>15.316000000000001</v>
      </c>
      <c r="E220" s="22"/>
      <c r="F220" s="2">
        <f t="shared" si="2"/>
        <v>3.8445907803442148E-3</v>
      </c>
      <c r="G220" s="2">
        <f t="shared" si="3"/>
        <v>3.735481291984837E-3</v>
      </c>
      <c r="J220">
        <v>2011</v>
      </c>
      <c r="K220" s="9">
        <v>2287071</v>
      </c>
      <c r="L220" s="19">
        <f>-(1-K220/K219)</f>
        <v>-4.2504048403329775E-2</v>
      </c>
      <c r="M220" s="26">
        <v>4.0090325667737545</v>
      </c>
      <c r="N220" s="19">
        <f>-(1-M220/M219)</f>
        <v>-8.6541328579676224E-2</v>
      </c>
    </row>
    <row r="221" spans="2:15">
      <c r="B221" t="s">
        <v>20</v>
      </c>
      <c r="C221" s="16">
        <f>C222-SUM(C211:C220)</f>
        <v>43.923999999999978</v>
      </c>
      <c r="D221" s="16">
        <f>D222-SUM(D211:D220)</f>
        <v>49.480999999998858</v>
      </c>
      <c r="E221" s="22"/>
      <c r="F221" s="2">
        <f t="shared" si="2"/>
        <v>1.0851420475249916E-2</v>
      </c>
      <c r="G221" s="2">
        <f t="shared" si="3"/>
        <v>1.2068121559721694E-2</v>
      </c>
      <c r="J221">
        <v>2012</v>
      </c>
      <c r="K221" s="9">
        <v>2156875</v>
      </c>
      <c r="L221" s="19">
        <f>-(1-K221/K220)</f>
        <v>-5.69269602911322E-2</v>
      </c>
      <c r="M221" s="26">
        <v>2.7553700000000001</v>
      </c>
      <c r="N221" s="19">
        <f>-(1-M221/M220)</f>
        <v>-0.31270949933505576</v>
      </c>
    </row>
    <row r="222" spans="2:15">
      <c r="B222" s="14" t="s">
        <v>21</v>
      </c>
      <c r="C222" s="16">
        <v>4047.7649999999999</v>
      </c>
      <c r="D222" s="16">
        <v>4100.1409999999996</v>
      </c>
      <c r="E222" s="22">
        <v>4119.3879999999999</v>
      </c>
      <c r="F222" s="16">
        <f>SUM(F211:F221)</f>
        <v>1</v>
      </c>
      <c r="G222" s="16">
        <f>SUM(G211:G221)</f>
        <v>0.99999999999999989</v>
      </c>
      <c r="L222" s="19">
        <f>-(1-K221/K217)</f>
        <v>-0.13169702883883005</v>
      </c>
      <c r="N222" s="19">
        <f>-(1-M221/M217)</f>
        <v>-0.68862943780016939</v>
      </c>
    </row>
    <row r="223" spans="2:15">
      <c r="B223" t="s">
        <v>82</v>
      </c>
      <c r="J223" t="s">
        <v>37</v>
      </c>
    </row>
    <row r="225" spans="2:10">
      <c r="C225" t="s">
        <v>40</v>
      </c>
      <c r="E225" t="s">
        <v>83</v>
      </c>
      <c r="I225" s="16">
        <f>C211</f>
        <v>1514.0429999999999</v>
      </c>
    </row>
    <row r="226" spans="2:10">
      <c r="B226" t="s">
        <v>34</v>
      </c>
      <c r="C226" t="s">
        <v>41</v>
      </c>
      <c r="E226" s="9" t="s">
        <v>85</v>
      </c>
      <c r="I226" s="16">
        <f>I225*2/3</f>
        <v>1009.362</v>
      </c>
    </row>
    <row r="227" spans="2:10">
      <c r="B227">
        <v>2008</v>
      </c>
      <c r="C227" s="9"/>
      <c r="D227" s="19"/>
      <c r="E227" s="9" t="s">
        <v>86</v>
      </c>
      <c r="I227" s="52">
        <f>I226*1000/K$221</f>
        <v>0.46797426832802086</v>
      </c>
    </row>
    <row r="228" spans="2:10">
      <c r="B228">
        <v>2009</v>
      </c>
      <c r="C228" s="9"/>
      <c r="D228" s="19"/>
      <c r="E228" s="9" t="s">
        <v>87</v>
      </c>
      <c r="I228" s="16">
        <f>I225</f>
        <v>1514.0429999999999</v>
      </c>
    </row>
    <row r="229" spans="2:10">
      <c r="B229">
        <v>2011</v>
      </c>
      <c r="C229" s="4">
        <v>144.19999999999999</v>
      </c>
      <c r="D229" s="19"/>
      <c r="E229" s="9"/>
      <c r="I229" s="52">
        <f>I228*1000/K$221</f>
        <v>0.70196140249203132</v>
      </c>
    </row>
    <row r="230" spans="2:10">
      <c r="B230">
        <v>2012</v>
      </c>
      <c r="C230" s="4">
        <v>156.1</v>
      </c>
      <c r="D230" s="19">
        <f>1-C229/C230</f>
        <v>7.623318385650224E-2</v>
      </c>
      <c r="E230" s="9"/>
    </row>
    <row r="231" spans="2:10">
      <c r="B231" t="s">
        <v>39</v>
      </c>
      <c r="J231">
        <f>1.075^10</f>
        <v>2.0610315621647111</v>
      </c>
    </row>
    <row r="234" spans="2:10">
      <c r="I234" s="52"/>
    </row>
  </sheetData>
  <conditionalFormatting sqref="C100:D100 D99:D117 E96:E98 C95:C102 C104:C117 D83:D93 D80:D81 C80:C93">
    <cfRule type="cellIs" dxfId="0" priority="4" operator="equal">
      <formula>"n/A"</formula>
    </cfRule>
  </conditionalFormatting>
  <hyperlinks>
    <hyperlink ref="B203" r:id="rId1" display="http://www.bp.com/statisticalreview"/>
    <hyperlink ref="B89" r:id="rId2"/>
    <hyperlink ref="B93" r:id="rId3"/>
    <hyperlink ref="B109" r:id="rId4"/>
  </hyperlinks>
  <pageMargins left="0.7" right="0.7" top="0.75" bottom="0.75" header="0.3" footer="0.3"/>
  <pageSetup orientation="portrait" horizontalDpi="300" verticalDpi="3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0"/>
  <sheetViews>
    <sheetView workbookViewId="0">
      <selection activeCell="E4" sqref="E4"/>
    </sheetView>
  </sheetViews>
  <sheetFormatPr defaultRowHeight="14.4"/>
  <cols>
    <col min="2" max="2" width="31.7890625" bestFit="1" customWidth="1"/>
    <col min="4" max="8" width="9.578125" bestFit="1" customWidth="1"/>
    <col min="9" max="9" width="9.578125" customWidth="1"/>
    <col min="10" max="12" width="9.578125" bestFit="1" customWidth="1"/>
    <col min="13" max="13" width="9.578125" customWidth="1"/>
    <col min="14" max="14" width="9.578125" bestFit="1" customWidth="1"/>
    <col min="15" max="15" width="9.578125" customWidth="1"/>
  </cols>
  <sheetData>
    <row r="2" spans="2:17">
      <c r="B2" t="s">
        <v>141</v>
      </c>
    </row>
    <row r="3" spans="2:17">
      <c r="B3" t="s">
        <v>142</v>
      </c>
      <c r="C3" s="3">
        <v>3652.5</v>
      </c>
    </row>
    <row r="4" spans="2:17">
      <c r="B4" t="s">
        <v>143</v>
      </c>
      <c r="C4" s="3">
        <f>C3*24</f>
        <v>87660</v>
      </c>
    </row>
    <row r="5" spans="2:17">
      <c r="B5" t="s">
        <v>144</v>
      </c>
      <c r="C5" s="3">
        <f>8000*(3652.5/3650)</f>
        <v>8005.4794520547948</v>
      </c>
    </row>
    <row r="6" spans="2:17">
      <c r="B6" t="s">
        <v>145</v>
      </c>
      <c r="C6" s="65">
        <f>24/C5</f>
        <v>2.997946611909651E-3</v>
      </c>
      <c r="E6" s="65"/>
    </row>
    <row r="7" spans="2:17">
      <c r="C7" s="20">
        <f>24/C5</f>
        <v>2.997946611909651E-3</v>
      </c>
      <c r="E7" s="20"/>
    </row>
    <row r="8" spans="2:17">
      <c r="B8" t="s">
        <v>146</v>
      </c>
      <c r="C8" s="65">
        <f>1-C6%</f>
        <v>0.99997002053388095</v>
      </c>
      <c r="E8" s="66"/>
    </row>
    <row r="9" spans="2:17">
      <c r="C9" s="66">
        <f>1-C7</f>
        <v>0.99700205338809034</v>
      </c>
      <c r="E9" s="66"/>
    </row>
    <row r="10" spans="2:17">
      <c r="D10" s="66"/>
      <c r="E10" s="66"/>
    </row>
    <row r="11" spans="2:17">
      <c r="D11" s="125" t="s">
        <v>208</v>
      </c>
      <c r="E11" s="125"/>
      <c r="F11" s="125"/>
      <c r="G11" s="125"/>
      <c r="H11" s="125" t="s">
        <v>153</v>
      </c>
      <c r="I11" s="125"/>
      <c r="J11" s="125"/>
      <c r="K11" s="125"/>
      <c r="N11" s="93"/>
      <c r="O11" s="93"/>
    </row>
    <row r="12" spans="2:17">
      <c r="F12" s="62" t="s">
        <v>55</v>
      </c>
      <c r="G12" s="62" t="s">
        <v>147</v>
      </c>
      <c r="J12" s="62" t="s">
        <v>55</v>
      </c>
      <c r="K12" s="62" t="s">
        <v>147</v>
      </c>
      <c r="N12" s="62"/>
      <c r="O12" s="62"/>
    </row>
    <row r="13" spans="2:17">
      <c r="D13" s="62" t="s">
        <v>3</v>
      </c>
      <c r="E13" s="62" t="s">
        <v>4</v>
      </c>
      <c r="F13" s="62" t="s">
        <v>148</v>
      </c>
      <c r="G13" s="62" t="s">
        <v>22</v>
      </c>
      <c r="H13" s="62" t="s">
        <v>3</v>
      </c>
      <c r="I13" s="62" t="s">
        <v>4</v>
      </c>
      <c r="J13" s="62" t="s">
        <v>148</v>
      </c>
      <c r="K13" s="62" t="s">
        <v>22</v>
      </c>
      <c r="L13" s="62"/>
      <c r="M13" s="62"/>
      <c r="N13" s="62"/>
      <c r="O13" s="62"/>
    </row>
    <row r="14" spans="2:17">
      <c r="D14" s="68" t="s">
        <v>27</v>
      </c>
      <c r="E14" s="67" t="s">
        <v>27</v>
      </c>
      <c r="F14" s="62" t="s">
        <v>27</v>
      </c>
      <c r="G14" s="62" t="s">
        <v>27</v>
      </c>
      <c r="H14" s="68" t="s">
        <v>27</v>
      </c>
      <c r="I14" s="67" t="s">
        <v>27</v>
      </c>
      <c r="J14" s="62" t="s">
        <v>27</v>
      </c>
      <c r="K14" s="62" t="s">
        <v>27</v>
      </c>
      <c r="L14" s="68"/>
      <c r="Q14" s="69"/>
    </row>
    <row r="15" spans="2:17">
      <c r="C15" s="70" t="s">
        <v>149</v>
      </c>
      <c r="D15" s="72">
        <v>0.29452</v>
      </c>
      <c r="E15" s="71">
        <v>0.55800740017132044</v>
      </c>
      <c r="F15" s="72">
        <v>0.97</v>
      </c>
      <c r="G15" s="72">
        <v>0.91300000000000003</v>
      </c>
      <c r="H15" s="72">
        <f>Tables!B33</f>
        <v>0.49237999999999998</v>
      </c>
      <c r="I15" s="71">
        <f>Tables!C33</f>
        <v>0.66524000000000005</v>
      </c>
      <c r="J15" s="72">
        <v>0.97</v>
      </c>
      <c r="K15" s="72">
        <v>0.91300000000000003</v>
      </c>
      <c r="L15" s="72"/>
    </row>
    <row r="16" spans="2:17">
      <c r="C16" s="73" t="s">
        <v>23</v>
      </c>
      <c r="D16" s="72">
        <f t="shared" ref="D16:K16" si="0">D15*(1-D15)</f>
        <v>0.2077779696</v>
      </c>
      <c r="E16" s="74">
        <f t="shared" si="0"/>
        <v>0.24663514152536428</v>
      </c>
      <c r="F16" s="72">
        <f t="shared" si="0"/>
        <v>2.9100000000000025E-2</v>
      </c>
      <c r="G16" s="72">
        <f t="shared" si="0"/>
        <v>7.9430999999999974E-2</v>
      </c>
      <c r="H16" s="72">
        <f t="shared" si="0"/>
        <v>0.24994193559999997</v>
      </c>
      <c r="I16" s="74">
        <f t="shared" si="0"/>
        <v>0.22269574239999998</v>
      </c>
      <c r="J16" s="72">
        <f t="shared" si="0"/>
        <v>2.9100000000000025E-2</v>
      </c>
      <c r="K16" s="72">
        <f t="shared" si="0"/>
        <v>7.9430999999999974E-2</v>
      </c>
      <c r="L16" s="72"/>
    </row>
    <row r="17" spans="3:15">
      <c r="C17" s="70" t="s">
        <v>150</v>
      </c>
      <c r="D17" s="72">
        <v>1.1664000000000001E-2</v>
      </c>
      <c r="E17" s="71">
        <v>2.5376396063576011E-2</v>
      </c>
      <c r="F17" s="72">
        <v>1.078E-3</v>
      </c>
      <c r="G17" s="72">
        <v>1.5380000000000001E-3</v>
      </c>
      <c r="H17" s="72">
        <f>D17</f>
        <v>1.1664000000000001E-2</v>
      </c>
      <c r="I17" s="118">
        <f>E17*0.75</f>
        <v>1.9032297047682008E-2</v>
      </c>
      <c r="J17" s="72">
        <v>1.078E-3</v>
      </c>
      <c r="K17" s="72">
        <v>1.5380000000000001E-3</v>
      </c>
      <c r="L17" s="72"/>
    </row>
    <row r="18" spans="3:15">
      <c r="C18" s="73" t="s">
        <v>24</v>
      </c>
      <c r="D18" s="72">
        <f t="shared" ref="D18:K18" si="1">(D16/D17)-1</f>
        <v>16.813611934156377</v>
      </c>
      <c r="E18" s="74">
        <f t="shared" si="1"/>
        <v>8.7190767714794539</v>
      </c>
      <c r="F18" s="72">
        <f t="shared" si="1"/>
        <v>25.994434137291304</v>
      </c>
      <c r="G18" s="72">
        <f t="shared" si="1"/>
        <v>50.645643693107914</v>
      </c>
      <c r="H18" s="72">
        <f t="shared" si="1"/>
        <v>20.428492421124826</v>
      </c>
      <c r="I18" s="74">
        <f t="shared" si="1"/>
        <v>10.700938769612293</v>
      </c>
      <c r="J18" s="72">
        <f t="shared" si="1"/>
        <v>25.994434137291304</v>
      </c>
      <c r="K18" s="72">
        <f t="shared" si="1"/>
        <v>50.645643693107914</v>
      </c>
      <c r="L18" s="72"/>
    </row>
    <row r="19" spans="3:15">
      <c r="C19" s="73" t="s">
        <v>25</v>
      </c>
      <c r="D19" s="72">
        <f t="shared" ref="D19:K19" si="2">D15*D18</f>
        <v>4.9519449868477361</v>
      </c>
      <c r="E19" s="71">
        <f t="shared" si="2"/>
        <v>4.8653093611474008</v>
      </c>
      <c r="F19" s="72">
        <f t="shared" si="2"/>
        <v>25.214601113172563</v>
      </c>
      <c r="G19" s="72">
        <f t="shared" si="2"/>
        <v>46.239472691807528</v>
      </c>
      <c r="H19" s="72">
        <f t="shared" si="2"/>
        <v>10.058581098313441</v>
      </c>
      <c r="I19" s="71">
        <f t="shared" si="2"/>
        <v>7.1186925070968821</v>
      </c>
      <c r="J19" s="72">
        <f t="shared" si="2"/>
        <v>25.214601113172563</v>
      </c>
      <c r="K19" s="72">
        <f t="shared" si="2"/>
        <v>46.239472691807528</v>
      </c>
      <c r="L19" s="72"/>
    </row>
    <row r="20" spans="3:15">
      <c r="C20" s="73" t="s">
        <v>26</v>
      </c>
      <c r="D20" s="72">
        <f t="shared" ref="D20:K20" si="3">(1-D15)*D18</f>
        <v>11.86166694730864</v>
      </c>
      <c r="E20" s="71">
        <f t="shared" si="3"/>
        <v>3.8537674103320536</v>
      </c>
      <c r="F20" s="72">
        <f t="shared" si="3"/>
        <v>0.77983302411873978</v>
      </c>
      <c r="G20" s="72">
        <f t="shared" si="3"/>
        <v>4.406171001300387</v>
      </c>
      <c r="H20" s="72">
        <f t="shared" si="3"/>
        <v>10.369911322811383</v>
      </c>
      <c r="I20" s="71">
        <f t="shared" si="3"/>
        <v>3.5822462625154108</v>
      </c>
      <c r="J20" s="72">
        <f t="shared" si="3"/>
        <v>0.77983302411873978</v>
      </c>
      <c r="K20" s="72">
        <f t="shared" si="3"/>
        <v>4.406171001300387</v>
      </c>
      <c r="L20" s="72"/>
      <c r="N20" s="66"/>
    </row>
    <row r="21" spans="3:15">
      <c r="C21" s="14" t="s">
        <v>151</v>
      </c>
      <c r="D21" s="72">
        <f>BETAINV($C7,$D19,$D20)</f>
        <v>6.5675442803210318E-2</v>
      </c>
      <c r="E21" s="71">
        <f>BETAINV($C7,$E19,$E20)</f>
        <v>0.14867568238620046</v>
      </c>
      <c r="F21" s="72">
        <f>BETAINV($C7,$F19,$F20)</f>
        <v>0.81170749508667062</v>
      </c>
      <c r="G21" s="72">
        <f>BETAINV($C7,$G19,$G20)</f>
        <v>0.77297035269622982</v>
      </c>
      <c r="H21" s="72">
        <f>BETAINV($C7,H19,H20)</f>
        <v>0.21326596980610804</v>
      </c>
      <c r="I21" s="72">
        <f>BETAINV($C7,I19,I20)</f>
        <v>0.26402713909461584</v>
      </c>
      <c r="J21" s="72">
        <f>BETAINV($C7,J19,J20)</f>
        <v>0.81170749508667062</v>
      </c>
      <c r="K21" s="72">
        <f>BETAINV($C7,K19,K20)</f>
        <v>0.77297035269622982</v>
      </c>
      <c r="L21" s="72"/>
    </row>
    <row r="22" spans="3:15">
      <c r="C22" s="14" t="s">
        <v>280</v>
      </c>
      <c r="D22">
        <f>F21/D21</f>
        <v>12.359376053525338</v>
      </c>
      <c r="E22">
        <f>F21/E21</f>
        <v>5.4595847959734023</v>
      </c>
      <c r="F22" s="72"/>
      <c r="G22" s="72"/>
      <c r="H22">
        <f>J21/H21</f>
        <v>3.8060807161341264</v>
      </c>
      <c r="I22">
        <f>J21/I21</f>
        <v>3.0743335623380368</v>
      </c>
      <c r="J22" s="75"/>
    </row>
    <row r="23" spans="3:15">
      <c r="F23" s="6"/>
      <c r="I23" s="78" t="s">
        <v>209</v>
      </c>
      <c r="M23" s="72"/>
    </row>
    <row r="25" spans="3:15">
      <c r="E25" s="2"/>
      <c r="F25" s="2"/>
      <c r="O25" s="2"/>
    </row>
    <row r="26" spans="3:15">
      <c r="E26" s="2"/>
      <c r="F26" s="2"/>
      <c r="O26" s="2"/>
    </row>
    <row r="27" spans="3:15">
      <c r="E27" s="2"/>
      <c r="F27" s="2"/>
      <c r="O27" s="2"/>
    </row>
    <row r="28" spans="3:15">
      <c r="E28" s="2"/>
      <c r="F28" s="2"/>
      <c r="O28" s="2"/>
    </row>
    <row r="29" spans="3:15">
      <c r="E29" s="2"/>
      <c r="F29" s="2"/>
      <c r="O29" s="2"/>
    </row>
    <row r="30" spans="3:15">
      <c r="E30" s="21"/>
      <c r="F30" s="21"/>
      <c r="O30" s="21"/>
    </row>
  </sheetData>
  <mergeCells count="2">
    <mergeCell ref="D11:G11"/>
    <mergeCell ref="H11:K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Tables</vt:lpstr>
      <vt:lpstr>Data</vt:lpstr>
      <vt:lpstr>Reliability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Charles_Frank</dc:creator>
  <cp:lastModifiedBy>Charles</cp:lastModifiedBy>
  <cp:lastPrinted>2016-09-07T11:58:43Z</cp:lastPrinted>
  <dcterms:created xsi:type="dcterms:W3CDTF">2013-12-07T13:21:26Z</dcterms:created>
  <dcterms:modified xsi:type="dcterms:W3CDTF">2016-09-29T09:44:15Z</dcterms:modified>
</cp:coreProperties>
</file>