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6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ropbox\Oli\Hysteresis\Workfiles_Oct_2013\figure_excel\"/>
    </mc:Choice>
  </mc:AlternateContent>
  <bookViews>
    <workbookView xWindow="480" yWindow="360" windowWidth="19872" windowHeight="7716" firstSheet="2" activeTab="7"/>
  </bookViews>
  <sheets>
    <sheet name="MPeffects" sheetId="1" r:id="rId1"/>
    <sheet name="1990recession" sheetId="2" r:id="rId2"/>
    <sheet name="2001recession" sheetId="3" r:id="rId3"/>
    <sheet name="2007recession" sheetId="4" r:id="rId4"/>
    <sheet name="FiscalPolicy" sheetId="5" r:id="rId5"/>
    <sheet name="combined" sheetId="6" r:id="rId6"/>
    <sheet name="normalized" sheetId="7" r:id="rId7"/>
    <sheet name="Figure 3 - Panel C" sheetId="9" r:id="rId8"/>
  </sheets>
  <calcPr calcId="152511"/>
</workbook>
</file>

<file path=xl/calcChain.xml><?xml version="1.0" encoding="utf-8"?>
<calcChain xmlns="http://schemas.openxmlformats.org/spreadsheetml/2006/main">
  <c r="Q6" i="9" l="1"/>
  <c r="R6" i="9"/>
  <c r="S6" i="9"/>
  <c r="T6" i="9"/>
  <c r="Q7" i="9"/>
  <c r="R7" i="9"/>
  <c r="S7" i="9"/>
  <c r="T7" i="9"/>
  <c r="Q8" i="9"/>
  <c r="R8" i="9"/>
  <c r="S8" i="9"/>
  <c r="T8" i="9"/>
  <c r="Q9" i="9"/>
  <c r="R9" i="9"/>
  <c r="S9" i="9"/>
  <c r="T9" i="9"/>
  <c r="Q10" i="9"/>
  <c r="R10" i="9"/>
  <c r="S10" i="9"/>
  <c r="T10" i="9"/>
  <c r="Q11" i="9"/>
  <c r="R11" i="9"/>
  <c r="S11" i="9"/>
  <c r="T11" i="9"/>
  <c r="Q12" i="9"/>
  <c r="R12" i="9"/>
  <c r="S12" i="9"/>
  <c r="T12" i="9"/>
  <c r="Q13" i="9"/>
  <c r="R13" i="9"/>
  <c r="S13" i="9"/>
  <c r="T13" i="9"/>
  <c r="Q14" i="9"/>
  <c r="R14" i="9"/>
  <c r="S14" i="9"/>
  <c r="T14" i="9"/>
  <c r="Q15" i="9"/>
  <c r="R15" i="9"/>
  <c r="S15" i="9"/>
  <c r="T15" i="9"/>
  <c r="Q16" i="9"/>
  <c r="R16" i="9"/>
  <c r="S16" i="9"/>
  <c r="T16" i="9"/>
  <c r="Q17" i="9"/>
  <c r="R17" i="9"/>
  <c r="S17" i="9"/>
  <c r="T17" i="9"/>
  <c r="Q18" i="9"/>
  <c r="R18" i="9"/>
  <c r="S18" i="9"/>
  <c r="T18" i="9"/>
  <c r="Q19" i="9"/>
  <c r="R19" i="9"/>
  <c r="S19" i="9"/>
  <c r="T19" i="9"/>
  <c r="Q20" i="9"/>
  <c r="R20" i="9"/>
  <c r="S20" i="9"/>
  <c r="T20" i="9"/>
  <c r="Q21" i="9"/>
  <c r="R21" i="9"/>
  <c r="S21" i="9"/>
  <c r="T21" i="9"/>
  <c r="Q22" i="9"/>
  <c r="R22" i="9"/>
  <c r="S22" i="9"/>
  <c r="T22" i="9"/>
  <c r="S5" i="9"/>
  <c r="T5" i="9"/>
  <c r="R5" i="9"/>
  <c r="Q5" i="9"/>
  <c r="G7" i="9"/>
  <c r="L7" i="9" s="1"/>
  <c r="G8" i="9"/>
  <c r="L8" i="9" s="1"/>
  <c r="G9" i="9"/>
  <c r="L9" i="9" s="1"/>
  <c r="G10" i="9"/>
  <c r="L10" i="9" s="1"/>
  <c r="G11" i="9"/>
  <c r="L11" i="9" s="1"/>
  <c r="G12" i="9"/>
  <c r="L12" i="9" s="1"/>
  <c r="G13" i="9"/>
  <c r="L13" i="9" s="1"/>
  <c r="G14" i="9"/>
  <c r="L14" i="9" s="1"/>
  <c r="G15" i="9"/>
  <c r="L15" i="9" s="1"/>
  <c r="G16" i="9"/>
  <c r="L16" i="9" s="1"/>
  <c r="G17" i="9"/>
  <c r="L17" i="9" s="1"/>
  <c r="G18" i="9"/>
  <c r="L18" i="9" s="1"/>
  <c r="G19" i="9"/>
  <c r="L19" i="9" s="1"/>
  <c r="G20" i="9"/>
  <c r="L20" i="9" s="1"/>
  <c r="G21" i="9"/>
  <c r="L21" i="9" s="1"/>
  <c r="G22" i="9"/>
  <c r="L22" i="9" s="1"/>
  <c r="G6" i="9"/>
  <c r="L6" i="9" s="1"/>
  <c r="I5" i="9"/>
  <c r="J5" i="9"/>
  <c r="H5" i="9"/>
  <c r="G5" i="9"/>
  <c r="L5" i="9" s="1"/>
  <c r="A8" i="9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7" i="9"/>
  <c r="L6" i="7" l="1"/>
  <c r="K9" i="7"/>
  <c r="K10" i="7" s="1"/>
  <c r="K11" i="7" s="1"/>
  <c r="K12" i="7" s="1"/>
  <c r="K13" i="7" s="1"/>
  <c r="K14" i="7" s="1"/>
  <c r="K15" i="7" s="1"/>
  <c r="K16" i="7" s="1"/>
  <c r="K17" i="7" s="1"/>
  <c r="K18" i="7" s="1"/>
  <c r="K19" i="7" s="1"/>
  <c r="K20" i="7" s="1"/>
  <c r="K21" i="7" s="1"/>
  <c r="K22" i="7" s="1"/>
  <c r="K23" i="7" s="1"/>
  <c r="M6" i="7"/>
  <c r="G6" i="7"/>
  <c r="D8" i="7"/>
  <c r="L8" i="7" s="1"/>
  <c r="D9" i="7"/>
  <c r="D10" i="7"/>
  <c r="F10" i="7" s="1"/>
  <c r="D11" i="7"/>
  <c r="D12" i="7"/>
  <c r="L12" i="7" s="1"/>
  <c r="D13" i="7"/>
  <c r="D14" i="7"/>
  <c r="F14" i="7" s="1"/>
  <c r="D15" i="7"/>
  <c r="D16" i="7"/>
  <c r="L16" i="7" s="1"/>
  <c r="D17" i="7"/>
  <c r="D18" i="7"/>
  <c r="F18" i="7" s="1"/>
  <c r="D19" i="7"/>
  <c r="D20" i="7"/>
  <c r="L20" i="7" s="1"/>
  <c r="D21" i="7"/>
  <c r="D22" i="7"/>
  <c r="F22" i="7" s="1"/>
  <c r="D23" i="7"/>
  <c r="D24" i="7"/>
  <c r="D25" i="7"/>
  <c r="D26" i="7"/>
  <c r="D7" i="7"/>
  <c r="L7" i="7" s="1"/>
  <c r="D6" i="7"/>
  <c r="F6" i="7" s="1"/>
  <c r="A9" i="7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E9" i="7"/>
  <c r="E10" i="7" s="1"/>
  <c r="E11" i="7" s="1"/>
  <c r="E12" i="7" s="1"/>
  <c r="E13" i="7" s="1"/>
  <c r="E14" i="7" s="1"/>
  <c r="E15" i="7" s="1"/>
  <c r="E16" i="7" s="1"/>
  <c r="E17" i="7" s="1"/>
  <c r="E18" i="7" s="1"/>
  <c r="E19" i="7" s="1"/>
  <c r="E20" i="7" s="1"/>
  <c r="E21" i="7" s="1"/>
  <c r="E22" i="7" s="1"/>
  <c r="E23" i="7" s="1"/>
  <c r="P6" i="6"/>
  <c r="P7" i="6"/>
  <c r="P8" i="6"/>
  <c r="P9" i="6"/>
  <c r="P10" i="6"/>
  <c r="P11" i="6"/>
  <c r="P12" i="6"/>
  <c r="P13" i="6"/>
  <c r="P14" i="6"/>
  <c r="P15" i="6"/>
  <c r="P16" i="6"/>
  <c r="P17" i="6"/>
  <c r="P18" i="6"/>
  <c r="P19" i="6"/>
  <c r="I20" i="7" s="1"/>
  <c r="P20" i="6"/>
  <c r="P21" i="6"/>
  <c r="P22" i="6"/>
  <c r="P23" i="6"/>
  <c r="P24" i="6"/>
  <c r="P25" i="6"/>
  <c r="P26" i="6"/>
  <c r="P27" i="6"/>
  <c r="P28" i="6"/>
  <c r="P5" i="6"/>
  <c r="T5" i="6" s="1"/>
  <c r="O9" i="6"/>
  <c r="O10" i="6" s="1"/>
  <c r="O11" i="6" s="1"/>
  <c r="O12" i="6" s="1"/>
  <c r="O13" i="6" s="1"/>
  <c r="O14" i="6" s="1"/>
  <c r="O15" i="6" s="1"/>
  <c r="O16" i="6" s="1"/>
  <c r="O17" i="6" s="1"/>
  <c r="O18" i="6" s="1"/>
  <c r="O19" i="6" s="1"/>
  <c r="O20" i="6" s="1"/>
  <c r="O21" i="6" s="1"/>
  <c r="O22" i="6" s="1"/>
  <c r="O23" i="6" s="1"/>
  <c r="O24" i="6" s="1"/>
  <c r="O25" i="6" s="1"/>
  <c r="O26" i="6" s="1"/>
  <c r="O27" i="6" s="1"/>
  <c r="O28" i="6" s="1"/>
  <c r="O29" i="6" s="1"/>
  <c r="I6" i="6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5" i="6"/>
  <c r="M5" i="6" s="1"/>
  <c r="H9" i="6"/>
  <c r="H10" i="6" s="1"/>
  <c r="H11" i="6" s="1"/>
  <c r="H12" i="6" s="1"/>
  <c r="H13" i="6" s="1"/>
  <c r="H14" i="6" s="1"/>
  <c r="H15" i="6" s="1"/>
  <c r="H16" i="6" s="1"/>
  <c r="H17" i="6" s="1"/>
  <c r="H18" i="6" s="1"/>
  <c r="H19" i="6" s="1"/>
  <c r="H20" i="6" s="1"/>
  <c r="H21" i="6" s="1"/>
  <c r="H22" i="6" s="1"/>
  <c r="H23" i="6" s="1"/>
  <c r="H24" i="6" s="1"/>
  <c r="H25" i="6" s="1"/>
  <c r="H26" i="6" s="1"/>
  <c r="H27" i="6" s="1"/>
  <c r="H28" i="6" s="1"/>
  <c r="H29" i="6" s="1"/>
  <c r="B23" i="6"/>
  <c r="B24" i="6"/>
  <c r="B25" i="6"/>
  <c r="B26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5" i="6"/>
  <c r="F5" i="6" s="1"/>
  <c r="A9" i="6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A5" i="5"/>
  <c r="W5" i="5"/>
  <c r="Y5" i="5"/>
  <c r="AH279" i="5"/>
  <c r="U7" i="5"/>
  <c r="U8" i="5" s="1"/>
  <c r="U9" i="5" s="1"/>
  <c r="U10" i="5" s="1"/>
  <c r="U11" i="5" s="1"/>
  <c r="U12" i="5" s="1"/>
  <c r="U13" i="5" s="1"/>
  <c r="U14" i="5" s="1"/>
  <c r="U15" i="5" s="1"/>
  <c r="U16" i="5" s="1"/>
  <c r="U17" i="5" s="1"/>
  <c r="U18" i="5" s="1"/>
  <c r="U19" i="5" s="1"/>
  <c r="U20" i="5" s="1"/>
  <c r="U21" i="5" s="1"/>
  <c r="U22" i="5" s="1"/>
  <c r="AF22" i="5"/>
  <c r="AF23" i="5"/>
  <c r="AF24" i="5"/>
  <c r="AF25" i="5"/>
  <c r="AF26" i="5"/>
  <c r="AF27" i="5"/>
  <c r="AF28" i="5"/>
  <c r="AF29" i="5"/>
  <c r="AF30" i="5"/>
  <c r="AF31" i="5"/>
  <c r="AF32" i="5"/>
  <c r="AF33" i="5"/>
  <c r="AF34" i="5"/>
  <c r="AF35" i="5"/>
  <c r="AF36" i="5"/>
  <c r="AF37" i="5"/>
  <c r="AF38" i="5"/>
  <c r="AF39" i="5"/>
  <c r="AF40" i="5"/>
  <c r="AF41" i="5"/>
  <c r="AF42" i="5"/>
  <c r="AF43" i="5"/>
  <c r="AF44" i="5"/>
  <c r="AF45" i="5"/>
  <c r="AF46" i="5"/>
  <c r="AF47" i="5"/>
  <c r="AF48" i="5"/>
  <c r="AF49" i="5"/>
  <c r="AF50" i="5"/>
  <c r="AF51" i="5"/>
  <c r="AF52" i="5"/>
  <c r="AF53" i="5"/>
  <c r="AF54" i="5"/>
  <c r="AF55" i="5"/>
  <c r="AF56" i="5"/>
  <c r="AF57" i="5"/>
  <c r="AF58" i="5"/>
  <c r="AF59" i="5"/>
  <c r="AF60" i="5"/>
  <c r="AF61" i="5"/>
  <c r="AF62" i="5"/>
  <c r="AF63" i="5"/>
  <c r="AF64" i="5"/>
  <c r="AF65" i="5"/>
  <c r="AF66" i="5"/>
  <c r="AF67" i="5"/>
  <c r="AF68" i="5"/>
  <c r="AF69" i="5"/>
  <c r="AF70" i="5"/>
  <c r="AF71" i="5"/>
  <c r="AF72" i="5"/>
  <c r="AF73" i="5"/>
  <c r="AF74" i="5"/>
  <c r="AF75" i="5"/>
  <c r="AF76" i="5"/>
  <c r="AF77" i="5"/>
  <c r="AF78" i="5"/>
  <c r="AF79" i="5"/>
  <c r="AF80" i="5"/>
  <c r="AF81" i="5"/>
  <c r="AF82" i="5"/>
  <c r="AF83" i="5"/>
  <c r="AF84" i="5"/>
  <c r="AF85" i="5"/>
  <c r="AF86" i="5"/>
  <c r="AF87" i="5"/>
  <c r="AF88" i="5"/>
  <c r="AF89" i="5"/>
  <c r="AF90" i="5"/>
  <c r="AF91" i="5"/>
  <c r="AF92" i="5"/>
  <c r="AF93" i="5"/>
  <c r="AF94" i="5"/>
  <c r="AF95" i="5"/>
  <c r="AF96" i="5"/>
  <c r="AF97" i="5"/>
  <c r="AF98" i="5"/>
  <c r="AF99" i="5"/>
  <c r="AF100" i="5"/>
  <c r="AF101" i="5"/>
  <c r="AF102" i="5"/>
  <c r="AF103" i="5"/>
  <c r="AF104" i="5"/>
  <c r="AF105" i="5"/>
  <c r="AF106" i="5"/>
  <c r="AF107" i="5"/>
  <c r="AF108" i="5"/>
  <c r="AF109" i="5"/>
  <c r="AF110" i="5"/>
  <c r="AF111" i="5"/>
  <c r="AF112" i="5"/>
  <c r="AF113" i="5"/>
  <c r="AF114" i="5"/>
  <c r="AF115" i="5"/>
  <c r="AF116" i="5"/>
  <c r="AF117" i="5"/>
  <c r="AF118" i="5"/>
  <c r="AF119" i="5"/>
  <c r="AF120" i="5"/>
  <c r="AF121" i="5"/>
  <c r="AF122" i="5"/>
  <c r="AF123" i="5"/>
  <c r="AF124" i="5"/>
  <c r="AF125" i="5"/>
  <c r="AF126" i="5"/>
  <c r="AF127" i="5"/>
  <c r="AF128" i="5"/>
  <c r="AF129" i="5"/>
  <c r="AF130" i="5"/>
  <c r="AF131" i="5"/>
  <c r="AF132" i="5"/>
  <c r="AF133" i="5"/>
  <c r="AF134" i="5"/>
  <c r="AF135" i="5"/>
  <c r="AF136" i="5"/>
  <c r="AF137" i="5"/>
  <c r="AF138" i="5"/>
  <c r="AF139" i="5"/>
  <c r="AF140" i="5"/>
  <c r="AF141" i="5"/>
  <c r="AF142" i="5"/>
  <c r="AF143" i="5"/>
  <c r="AF144" i="5"/>
  <c r="AF145" i="5"/>
  <c r="AF146" i="5"/>
  <c r="AF147" i="5"/>
  <c r="AF148" i="5"/>
  <c r="AF149" i="5"/>
  <c r="AF150" i="5"/>
  <c r="AF151" i="5"/>
  <c r="AF152" i="5"/>
  <c r="AF153" i="5"/>
  <c r="AF154" i="5"/>
  <c r="AF155" i="5"/>
  <c r="AF156" i="5"/>
  <c r="AF157" i="5"/>
  <c r="AF158" i="5"/>
  <c r="AF159" i="5"/>
  <c r="AF160" i="5"/>
  <c r="AF161" i="5"/>
  <c r="AF162" i="5"/>
  <c r="AF163" i="5"/>
  <c r="AF164" i="5"/>
  <c r="AF165" i="5"/>
  <c r="AF166" i="5"/>
  <c r="AF167" i="5"/>
  <c r="AF168" i="5"/>
  <c r="AF169" i="5"/>
  <c r="AF170" i="5"/>
  <c r="AF171" i="5"/>
  <c r="AF172" i="5"/>
  <c r="AF173" i="5"/>
  <c r="AF174" i="5"/>
  <c r="AF175" i="5"/>
  <c r="AF176" i="5"/>
  <c r="AF177" i="5"/>
  <c r="AF178" i="5"/>
  <c r="AF179" i="5"/>
  <c r="AF180" i="5"/>
  <c r="AF181" i="5"/>
  <c r="AF182" i="5"/>
  <c r="AF183" i="5"/>
  <c r="AF184" i="5"/>
  <c r="AF185" i="5"/>
  <c r="AF186" i="5"/>
  <c r="AF187" i="5"/>
  <c r="AF188" i="5"/>
  <c r="AF189" i="5"/>
  <c r="AF190" i="5"/>
  <c r="AF191" i="5"/>
  <c r="AF192" i="5"/>
  <c r="AF193" i="5"/>
  <c r="AF194" i="5"/>
  <c r="AF195" i="5"/>
  <c r="AF196" i="5"/>
  <c r="AF197" i="5"/>
  <c r="AF198" i="5"/>
  <c r="AF199" i="5"/>
  <c r="AF200" i="5"/>
  <c r="AF201" i="5"/>
  <c r="AF202" i="5"/>
  <c r="AF203" i="5"/>
  <c r="AF204" i="5"/>
  <c r="AF205" i="5"/>
  <c r="AF206" i="5"/>
  <c r="AF207" i="5"/>
  <c r="AF208" i="5"/>
  <c r="AF209" i="5"/>
  <c r="AF210" i="5"/>
  <c r="AF211" i="5"/>
  <c r="AF212" i="5"/>
  <c r="AF213" i="5"/>
  <c r="AF214" i="5"/>
  <c r="AF215" i="5"/>
  <c r="AF216" i="5"/>
  <c r="AF217" i="5"/>
  <c r="AF218" i="5"/>
  <c r="AF219" i="5"/>
  <c r="AF220" i="5"/>
  <c r="AF221" i="5"/>
  <c r="AF222" i="5"/>
  <c r="AF223" i="5"/>
  <c r="AF224" i="5"/>
  <c r="AF225" i="5"/>
  <c r="AF226" i="5"/>
  <c r="AF227" i="5"/>
  <c r="AF228" i="5"/>
  <c r="AF229" i="5"/>
  <c r="AF230" i="5"/>
  <c r="AF231" i="5"/>
  <c r="AF232" i="5"/>
  <c r="AF233" i="5"/>
  <c r="AF234" i="5"/>
  <c r="AF235" i="5"/>
  <c r="AF236" i="5"/>
  <c r="AF237" i="5"/>
  <c r="AF238" i="5"/>
  <c r="AF239" i="5"/>
  <c r="AF240" i="5"/>
  <c r="AF241" i="5"/>
  <c r="AF242" i="5"/>
  <c r="AF243" i="5"/>
  <c r="AF244" i="5"/>
  <c r="AF245" i="5"/>
  <c r="AF246" i="5"/>
  <c r="AF247" i="5"/>
  <c r="AF248" i="5"/>
  <c r="AF249" i="5"/>
  <c r="AF250" i="5"/>
  <c r="AF251" i="5"/>
  <c r="AF252" i="5"/>
  <c r="AF253" i="5"/>
  <c r="AF254" i="5"/>
  <c r="AF255" i="5"/>
  <c r="AF256" i="5"/>
  <c r="AF257" i="5"/>
  <c r="AF258" i="5"/>
  <c r="AF259" i="5"/>
  <c r="AF260" i="5"/>
  <c r="AF261" i="5"/>
  <c r="AF262" i="5"/>
  <c r="AF263" i="5"/>
  <c r="AF264" i="5"/>
  <c r="AF265" i="5"/>
  <c r="AF266" i="5"/>
  <c r="AF267" i="5"/>
  <c r="AF268" i="5"/>
  <c r="AF269" i="5"/>
  <c r="AF270" i="5"/>
  <c r="AF271" i="5"/>
  <c r="AF272" i="5"/>
  <c r="AF273" i="5"/>
  <c r="AF274" i="5"/>
  <c r="AF275" i="5"/>
  <c r="AF276" i="5"/>
  <c r="AF277" i="5"/>
  <c r="AF278" i="5"/>
  <c r="AF21" i="5"/>
  <c r="AG279" i="5"/>
  <c r="I7" i="5"/>
  <c r="M7" i="5" s="1"/>
  <c r="J7" i="5"/>
  <c r="N7" i="5" s="1"/>
  <c r="K7" i="5"/>
  <c r="O7" i="5" s="1"/>
  <c r="I8" i="5"/>
  <c r="M8" i="5" s="1"/>
  <c r="J8" i="5"/>
  <c r="N8" i="5" s="1"/>
  <c r="K8" i="5"/>
  <c r="O8" i="5" s="1"/>
  <c r="I9" i="5"/>
  <c r="M9" i="5" s="1"/>
  <c r="J9" i="5"/>
  <c r="N9" i="5" s="1"/>
  <c r="K9" i="5"/>
  <c r="O9" i="5" s="1"/>
  <c r="I10" i="5"/>
  <c r="M10" i="5" s="1"/>
  <c r="J10" i="5"/>
  <c r="N10" i="5" s="1"/>
  <c r="K10" i="5"/>
  <c r="O10" i="5" s="1"/>
  <c r="I11" i="5"/>
  <c r="M11" i="5" s="1"/>
  <c r="J11" i="5"/>
  <c r="N11" i="5" s="1"/>
  <c r="K11" i="5"/>
  <c r="O11" i="5" s="1"/>
  <c r="I12" i="5"/>
  <c r="M12" i="5" s="1"/>
  <c r="J12" i="5"/>
  <c r="N12" i="5" s="1"/>
  <c r="K12" i="5"/>
  <c r="O12" i="5" s="1"/>
  <c r="I13" i="5"/>
  <c r="M13" i="5" s="1"/>
  <c r="J13" i="5"/>
  <c r="N13" i="5" s="1"/>
  <c r="K13" i="5"/>
  <c r="O13" i="5" s="1"/>
  <c r="I14" i="5"/>
  <c r="M14" i="5" s="1"/>
  <c r="J14" i="5"/>
  <c r="N14" i="5" s="1"/>
  <c r="K14" i="5"/>
  <c r="O14" i="5" s="1"/>
  <c r="I15" i="5"/>
  <c r="M15" i="5" s="1"/>
  <c r="J15" i="5"/>
  <c r="N15" i="5" s="1"/>
  <c r="K15" i="5"/>
  <c r="O15" i="5" s="1"/>
  <c r="I16" i="5"/>
  <c r="M16" i="5" s="1"/>
  <c r="J16" i="5"/>
  <c r="N16" i="5" s="1"/>
  <c r="K16" i="5"/>
  <c r="O16" i="5" s="1"/>
  <c r="I17" i="5"/>
  <c r="M17" i="5" s="1"/>
  <c r="J17" i="5"/>
  <c r="N17" i="5" s="1"/>
  <c r="K17" i="5"/>
  <c r="O17" i="5" s="1"/>
  <c r="I18" i="5"/>
  <c r="M18" i="5" s="1"/>
  <c r="J18" i="5"/>
  <c r="N18" i="5" s="1"/>
  <c r="K18" i="5"/>
  <c r="O18" i="5" s="1"/>
  <c r="I19" i="5"/>
  <c r="M19" i="5" s="1"/>
  <c r="J19" i="5"/>
  <c r="N19" i="5" s="1"/>
  <c r="K19" i="5"/>
  <c r="O19" i="5" s="1"/>
  <c r="I20" i="5"/>
  <c r="M20" i="5" s="1"/>
  <c r="J20" i="5"/>
  <c r="N20" i="5" s="1"/>
  <c r="K20" i="5"/>
  <c r="O20" i="5" s="1"/>
  <c r="I21" i="5"/>
  <c r="M21" i="5" s="1"/>
  <c r="J21" i="5"/>
  <c r="N21" i="5" s="1"/>
  <c r="K21" i="5"/>
  <c r="O21" i="5" s="1"/>
  <c r="I22" i="5"/>
  <c r="M22" i="5" s="1"/>
  <c r="J22" i="5"/>
  <c r="N22" i="5" s="1"/>
  <c r="K22" i="5"/>
  <c r="O22" i="5" s="1"/>
  <c r="J6" i="5"/>
  <c r="N6" i="5" s="1"/>
  <c r="R6" i="5" s="1"/>
  <c r="Y6" i="5" s="1"/>
  <c r="K6" i="5"/>
  <c r="O6" i="5" s="1"/>
  <c r="S6" i="5" s="1"/>
  <c r="AA6" i="5" s="1"/>
  <c r="I6" i="5"/>
  <c r="M6" i="5" s="1"/>
  <c r="Q6" i="5" s="1"/>
  <c r="W6" i="5" s="1"/>
  <c r="M83" i="4"/>
  <c r="M82" i="4"/>
  <c r="M81" i="4"/>
  <c r="M80" i="4"/>
  <c r="M79" i="4"/>
  <c r="M78" i="4"/>
  <c r="M77" i="4"/>
  <c r="M76" i="4"/>
  <c r="M75" i="4"/>
  <c r="M74" i="4"/>
  <c r="M73" i="4"/>
  <c r="M72" i="4"/>
  <c r="M71" i="4"/>
  <c r="M70" i="4"/>
  <c r="M69" i="4"/>
  <c r="M68" i="4"/>
  <c r="M67" i="4"/>
  <c r="M66" i="4"/>
  <c r="M65" i="4"/>
  <c r="M64" i="4"/>
  <c r="M63" i="4"/>
  <c r="M62" i="4"/>
  <c r="M61" i="4"/>
  <c r="M60" i="4"/>
  <c r="M59" i="4"/>
  <c r="M58" i="4"/>
  <c r="M57" i="4"/>
  <c r="M56" i="4"/>
  <c r="M55" i="4"/>
  <c r="M54" i="4"/>
  <c r="M53" i="4"/>
  <c r="M52" i="4"/>
  <c r="M51" i="4"/>
  <c r="M50" i="4"/>
  <c r="M49" i="4"/>
  <c r="M48" i="4"/>
  <c r="M47" i="4"/>
  <c r="M46" i="4"/>
  <c r="M45" i="4"/>
  <c r="M44" i="4"/>
  <c r="M43" i="4"/>
  <c r="M42" i="4"/>
  <c r="D41" i="4"/>
  <c r="M41" i="4" s="1"/>
  <c r="D40" i="4"/>
  <c r="M40" i="4" s="1"/>
  <c r="D39" i="4"/>
  <c r="M39" i="4" s="1"/>
  <c r="D38" i="4"/>
  <c r="M38" i="4" s="1"/>
  <c r="D37" i="4"/>
  <c r="M37" i="4" s="1"/>
  <c r="D36" i="4"/>
  <c r="M36" i="4" s="1"/>
  <c r="D35" i="4"/>
  <c r="M35" i="4" s="1"/>
  <c r="D34" i="4"/>
  <c r="M34" i="4" s="1"/>
  <c r="D33" i="4"/>
  <c r="M33" i="4" s="1"/>
  <c r="D32" i="4"/>
  <c r="M32" i="4" s="1"/>
  <c r="D31" i="4"/>
  <c r="M31" i="4" s="1"/>
  <c r="D30" i="4"/>
  <c r="M30" i="4" s="1"/>
  <c r="D29" i="4"/>
  <c r="M29" i="4" s="1"/>
  <c r="D28" i="4"/>
  <c r="M28" i="4" s="1"/>
  <c r="D27" i="4"/>
  <c r="M27" i="4" s="1"/>
  <c r="D26" i="4"/>
  <c r="M26" i="4" s="1"/>
  <c r="D25" i="4"/>
  <c r="M25" i="4" s="1"/>
  <c r="D24" i="4"/>
  <c r="M24" i="4" s="1"/>
  <c r="D23" i="4"/>
  <c r="M23" i="4" s="1"/>
  <c r="D22" i="4"/>
  <c r="M22" i="4" s="1"/>
  <c r="M21" i="4"/>
  <c r="D21" i="4"/>
  <c r="D20" i="4"/>
  <c r="M20" i="4" s="1"/>
  <c r="D19" i="4"/>
  <c r="M19" i="4" s="1"/>
  <c r="F17" i="4"/>
  <c r="F18" i="4" s="1"/>
  <c r="F19" i="4" s="1"/>
  <c r="F20" i="4" s="1"/>
  <c r="F21" i="4" s="1"/>
  <c r="F22" i="4" s="1"/>
  <c r="F23" i="4" s="1"/>
  <c r="F24" i="4" s="1"/>
  <c r="F25" i="4" s="1"/>
  <c r="F26" i="4" s="1"/>
  <c r="F27" i="4" s="1"/>
  <c r="F28" i="4" s="1"/>
  <c r="F29" i="4" s="1"/>
  <c r="F30" i="4" s="1"/>
  <c r="F31" i="4" s="1"/>
  <c r="F32" i="4" s="1"/>
  <c r="F33" i="4" s="1"/>
  <c r="F34" i="4" s="1"/>
  <c r="F35" i="4" s="1"/>
  <c r="F36" i="4" s="1"/>
  <c r="F37" i="4" s="1"/>
  <c r="F38" i="4" s="1"/>
  <c r="F39" i="4" s="1"/>
  <c r="F40" i="4" s="1"/>
  <c r="L10" i="4"/>
  <c r="L11" i="4" s="1"/>
  <c r="L12" i="4" s="1"/>
  <c r="L13" i="4" s="1"/>
  <c r="L14" i="4" s="1"/>
  <c r="L15" i="4" s="1"/>
  <c r="L16" i="4" s="1"/>
  <c r="L17" i="4" s="1"/>
  <c r="L18" i="4" s="1"/>
  <c r="L19" i="4" s="1"/>
  <c r="L20" i="4" s="1"/>
  <c r="L21" i="4" s="1"/>
  <c r="L22" i="4" s="1"/>
  <c r="L23" i="4" s="1"/>
  <c r="L24" i="4" s="1"/>
  <c r="L25" i="4" s="1"/>
  <c r="L26" i="4" s="1"/>
  <c r="L27" i="4" s="1"/>
  <c r="L28" i="4" s="1"/>
  <c r="L29" i="4" s="1"/>
  <c r="L30" i="4" s="1"/>
  <c r="L31" i="4" s="1"/>
  <c r="L32" i="4" s="1"/>
  <c r="L33" i="4" s="1"/>
  <c r="L34" i="4" s="1"/>
  <c r="L35" i="4" s="1"/>
  <c r="L36" i="4" s="1"/>
  <c r="L37" i="4" s="1"/>
  <c r="L38" i="4" s="1"/>
  <c r="L39" i="4" s="1"/>
  <c r="L40" i="4" s="1"/>
  <c r="L41" i="4" s="1"/>
  <c r="L42" i="4" s="1"/>
  <c r="L43" i="4" s="1"/>
  <c r="L44" i="4" s="1"/>
  <c r="L45" i="4" s="1"/>
  <c r="L46" i="4" s="1"/>
  <c r="L47" i="4" s="1"/>
  <c r="L48" i="4" s="1"/>
  <c r="L49" i="4" s="1"/>
  <c r="L50" i="4" s="1"/>
  <c r="L51" i="4" s="1"/>
  <c r="L52" i="4" s="1"/>
  <c r="L53" i="4" s="1"/>
  <c r="L54" i="4" s="1"/>
  <c r="L55" i="4" s="1"/>
  <c r="L56" i="4" s="1"/>
  <c r="L57" i="4" s="1"/>
  <c r="L58" i="4" s="1"/>
  <c r="L59" i="4" s="1"/>
  <c r="L60" i="4" s="1"/>
  <c r="L61" i="4" s="1"/>
  <c r="L62" i="4" s="1"/>
  <c r="L63" i="4" s="1"/>
  <c r="L64" i="4" s="1"/>
  <c r="L65" i="4" s="1"/>
  <c r="L66" i="4" s="1"/>
  <c r="L67" i="4" s="1"/>
  <c r="L68" i="4" s="1"/>
  <c r="L69" i="4" s="1"/>
  <c r="L70" i="4" s="1"/>
  <c r="L71" i="4" s="1"/>
  <c r="L72" i="4" s="1"/>
  <c r="L73" i="4" s="1"/>
  <c r="L74" i="4" s="1"/>
  <c r="L75" i="4" s="1"/>
  <c r="L76" i="4" s="1"/>
  <c r="L77" i="4" s="1"/>
  <c r="L78" i="4" s="1"/>
  <c r="L79" i="4" s="1"/>
  <c r="L80" i="4" s="1"/>
  <c r="L81" i="4" s="1"/>
  <c r="L82" i="4" s="1"/>
  <c r="L83" i="4" s="1"/>
  <c r="L84" i="4" s="1"/>
  <c r="L85" i="4" s="1"/>
  <c r="L86" i="4" s="1"/>
  <c r="L87" i="4" s="1"/>
  <c r="L88" i="4" s="1"/>
  <c r="L89" i="4" s="1"/>
  <c r="L90" i="4" s="1"/>
  <c r="L91" i="4" s="1"/>
  <c r="L92" i="4" s="1"/>
  <c r="L93" i="4" s="1"/>
  <c r="L94" i="4" s="1"/>
  <c r="L95" i="4" s="1"/>
  <c r="L96" i="4" s="1"/>
  <c r="L97" i="4" s="1"/>
  <c r="L98" i="4" s="1"/>
  <c r="L99" i="4" s="1"/>
  <c r="L100" i="4" s="1"/>
  <c r="L101" i="4" s="1"/>
  <c r="L102" i="4" s="1"/>
  <c r="L103" i="4" s="1"/>
  <c r="L104" i="4" s="1"/>
  <c r="L105" i="4" s="1"/>
  <c r="L106" i="4" s="1"/>
  <c r="L107" i="4" s="1"/>
  <c r="L108" i="4" s="1"/>
  <c r="L109" i="4" s="1"/>
  <c r="L110" i="4" s="1"/>
  <c r="A9" i="4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R8" i="4"/>
  <c r="R9" i="4" s="1"/>
  <c r="R10" i="4" s="1"/>
  <c r="R11" i="4" s="1"/>
  <c r="R12" i="4" s="1"/>
  <c r="R13" i="4" s="1"/>
  <c r="R14" i="4" s="1"/>
  <c r="R15" i="4" s="1"/>
  <c r="R16" i="4" s="1"/>
  <c r="R17" i="4" s="1"/>
  <c r="R18" i="4" s="1"/>
  <c r="R19" i="4" s="1"/>
  <c r="R20" i="4" s="1"/>
  <c r="R21" i="4" s="1"/>
  <c r="R22" i="4" s="1"/>
  <c r="R23" i="4" s="1"/>
  <c r="R24" i="4" s="1"/>
  <c r="R25" i="4" s="1"/>
  <c r="R26" i="4" s="1"/>
  <c r="R27" i="4" s="1"/>
  <c r="R28" i="4" s="1"/>
  <c r="R29" i="4" s="1"/>
  <c r="R30" i="4" s="1"/>
  <c r="R31" i="4" s="1"/>
  <c r="R32" i="4" s="1"/>
  <c r="R33" i="4" s="1"/>
  <c r="R34" i="4" s="1"/>
  <c r="R35" i="4" s="1"/>
  <c r="R36" i="4" s="1"/>
  <c r="R37" i="4" s="1"/>
  <c r="R38" i="4" s="1"/>
  <c r="R39" i="4" s="1"/>
  <c r="R40" i="4" s="1"/>
  <c r="R41" i="4" s="1"/>
  <c r="R42" i="4" s="1"/>
  <c r="R43" i="4" s="1"/>
  <c r="R44" i="4" s="1"/>
  <c r="R45" i="4" s="1"/>
  <c r="R46" i="4" s="1"/>
  <c r="R47" i="4" s="1"/>
  <c r="R48" i="4" s="1"/>
  <c r="R49" i="4" s="1"/>
  <c r="R50" i="4" s="1"/>
  <c r="R51" i="4" s="1"/>
  <c r="R52" i="4" s="1"/>
  <c r="R53" i="4" s="1"/>
  <c r="R54" i="4" s="1"/>
  <c r="R55" i="4" s="1"/>
  <c r="R56" i="4" s="1"/>
  <c r="R57" i="4" s="1"/>
  <c r="R58" i="4" s="1"/>
  <c r="R59" i="4" s="1"/>
  <c r="R60" i="4" s="1"/>
  <c r="R61" i="4" s="1"/>
  <c r="R62" i="4" s="1"/>
  <c r="R63" i="4" s="1"/>
  <c r="R64" i="4" s="1"/>
  <c r="R65" i="4" s="1"/>
  <c r="R66" i="4" s="1"/>
  <c r="R67" i="4" s="1"/>
  <c r="R68" i="4" s="1"/>
  <c r="R69" i="4" s="1"/>
  <c r="R70" i="4" s="1"/>
  <c r="R71" i="4" s="1"/>
  <c r="R72" i="4" s="1"/>
  <c r="R73" i="4" s="1"/>
  <c r="R74" i="4" s="1"/>
  <c r="R75" i="4" s="1"/>
  <c r="R76" i="4" s="1"/>
  <c r="R77" i="4" s="1"/>
  <c r="R78" i="4" s="1"/>
  <c r="R79" i="4" s="1"/>
  <c r="R80" i="4" s="1"/>
  <c r="U6" i="4"/>
  <c r="A6" i="4"/>
  <c r="A7" i="4" s="1"/>
  <c r="A8" i="4" s="1"/>
  <c r="U5" i="4"/>
  <c r="N5" i="4"/>
  <c r="D5" i="4"/>
  <c r="M5" i="4" s="1"/>
  <c r="N6" i="4" s="1"/>
  <c r="U7" i="4" s="1"/>
  <c r="M83" i="3"/>
  <c r="M82" i="3"/>
  <c r="M81" i="3"/>
  <c r="M80" i="3"/>
  <c r="M79" i="3"/>
  <c r="M78" i="3"/>
  <c r="M77" i="3"/>
  <c r="M76" i="3"/>
  <c r="M75" i="3"/>
  <c r="M74" i="3"/>
  <c r="M73" i="3"/>
  <c r="M72" i="3"/>
  <c r="M71" i="3"/>
  <c r="M70" i="3"/>
  <c r="M69" i="3"/>
  <c r="M68" i="3"/>
  <c r="M67" i="3"/>
  <c r="M66" i="3"/>
  <c r="M65" i="3"/>
  <c r="M64" i="3"/>
  <c r="M63" i="3"/>
  <c r="M62" i="3"/>
  <c r="M61" i="3"/>
  <c r="M60" i="3"/>
  <c r="M59" i="3"/>
  <c r="M58" i="3"/>
  <c r="M57" i="3"/>
  <c r="M56" i="3"/>
  <c r="M55" i="3"/>
  <c r="M54" i="3"/>
  <c r="M53" i="3"/>
  <c r="M52" i="3"/>
  <c r="M51" i="3"/>
  <c r="D50" i="3"/>
  <c r="M50" i="3" s="1"/>
  <c r="D49" i="3"/>
  <c r="M49" i="3" s="1"/>
  <c r="D48" i="3"/>
  <c r="M48" i="3" s="1"/>
  <c r="D47" i="3"/>
  <c r="M47" i="3" s="1"/>
  <c r="D46" i="3"/>
  <c r="M46" i="3" s="1"/>
  <c r="D45" i="3"/>
  <c r="M45" i="3" s="1"/>
  <c r="D44" i="3"/>
  <c r="M44" i="3" s="1"/>
  <c r="D43" i="3"/>
  <c r="M43" i="3" s="1"/>
  <c r="D42" i="3"/>
  <c r="M42" i="3" s="1"/>
  <c r="D41" i="3"/>
  <c r="M41" i="3" s="1"/>
  <c r="D40" i="3"/>
  <c r="M40" i="3" s="1"/>
  <c r="D39" i="3"/>
  <c r="M39" i="3" s="1"/>
  <c r="D38" i="3"/>
  <c r="M38" i="3" s="1"/>
  <c r="D37" i="3"/>
  <c r="M37" i="3" s="1"/>
  <c r="M36" i="3"/>
  <c r="D36" i="3"/>
  <c r="D35" i="3"/>
  <c r="M35" i="3" s="1"/>
  <c r="D34" i="3"/>
  <c r="M34" i="3" s="1"/>
  <c r="D33" i="3"/>
  <c r="M33" i="3" s="1"/>
  <c r="D32" i="3"/>
  <c r="M32" i="3" s="1"/>
  <c r="D31" i="3"/>
  <c r="M31" i="3" s="1"/>
  <c r="D30" i="3"/>
  <c r="M30" i="3" s="1"/>
  <c r="D29" i="3"/>
  <c r="M29" i="3" s="1"/>
  <c r="M28" i="3"/>
  <c r="D28" i="3"/>
  <c r="D27" i="3"/>
  <c r="M27" i="3" s="1"/>
  <c r="D26" i="3"/>
  <c r="M26" i="3" s="1"/>
  <c r="D25" i="3"/>
  <c r="M25" i="3" s="1"/>
  <c r="D24" i="3"/>
  <c r="M24" i="3" s="1"/>
  <c r="D23" i="3"/>
  <c r="M23" i="3" s="1"/>
  <c r="D22" i="3"/>
  <c r="M22" i="3" s="1"/>
  <c r="D21" i="3"/>
  <c r="M21" i="3" s="1"/>
  <c r="D20" i="3"/>
  <c r="M20" i="3" s="1"/>
  <c r="D19" i="3"/>
  <c r="M19" i="3" s="1"/>
  <c r="D18" i="3"/>
  <c r="M18" i="3" s="1"/>
  <c r="F17" i="3"/>
  <c r="F18" i="3" s="1"/>
  <c r="F19" i="3" s="1"/>
  <c r="F20" i="3" s="1"/>
  <c r="F21" i="3" s="1"/>
  <c r="F22" i="3" s="1"/>
  <c r="F23" i="3" s="1"/>
  <c r="F24" i="3" s="1"/>
  <c r="F25" i="3" s="1"/>
  <c r="F26" i="3" s="1"/>
  <c r="F27" i="3" s="1"/>
  <c r="F28" i="3" s="1"/>
  <c r="F29" i="3" s="1"/>
  <c r="F30" i="3" s="1"/>
  <c r="F31" i="3" s="1"/>
  <c r="F32" i="3" s="1"/>
  <c r="F33" i="3" s="1"/>
  <c r="F34" i="3" s="1"/>
  <c r="F35" i="3" s="1"/>
  <c r="F36" i="3" s="1"/>
  <c r="F37" i="3" s="1"/>
  <c r="F38" i="3" s="1"/>
  <c r="F39" i="3" s="1"/>
  <c r="F40" i="3" s="1"/>
  <c r="D17" i="3"/>
  <c r="M17" i="3" s="1"/>
  <c r="D16" i="3"/>
  <c r="M16" i="3" s="1"/>
  <c r="D15" i="3"/>
  <c r="M15" i="3" s="1"/>
  <c r="D14" i="3"/>
  <c r="M14" i="3" s="1"/>
  <c r="D13" i="3"/>
  <c r="M13" i="3" s="1"/>
  <c r="D12" i="3"/>
  <c r="M12" i="3" s="1"/>
  <c r="D11" i="3"/>
  <c r="M11" i="3" s="1"/>
  <c r="L10" i="3"/>
  <c r="L11" i="3" s="1"/>
  <c r="L12" i="3" s="1"/>
  <c r="L13" i="3" s="1"/>
  <c r="L14" i="3" s="1"/>
  <c r="L15" i="3" s="1"/>
  <c r="L16" i="3" s="1"/>
  <c r="L17" i="3" s="1"/>
  <c r="L18" i="3" s="1"/>
  <c r="L19" i="3" s="1"/>
  <c r="L20" i="3" s="1"/>
  <c r="L21" i="3" s="1"/>
  <c r="L22" i="3" s="1"/>
  <c r="L23" i="3" s="1"/>
  <c r="L24" i="3" s="1"/>
  <c r="L25" i="3" s="1"/>
  <c r="L26" i="3" s="1"/>
  <c r="L27" i="3" s="1"/>
  <c r="L28" i="3" s="1"/>
  <c r="L29" i="3" s="1"/>
  <c r="L30" i="3" s="1"/>
  <c r="L31" i="3" s="1"/>
  <c r="L32" i="3" s="1"/>
  <c r="L33" i="3" s="1"/>
  <c r="L34" i="3" s="1"/>
  <c r="L35" i="3" s="1"/>
  <c r="L36" i="3" s="1"/>
  <c r="L37" i="3" s="1"/>
  <c r="L38" i="3" s="1"/>
  <c r="L39" i="3" s="1"/>
  <c r="L40" i="3" s="1"/>
  <c r="L41" i="3" s="1"/>
  <c r="L42" i="3" s="1"/>
  <c r="L43" i="3" s="1"/>
  <c r="L44" i="3" s="1"/>
  <c r="L45" i="3" s="1"/>
  <c r="L46" i="3" s="1"/>
  <c r="L47" i="3" s="1"/>
  <c r="L48" i="3" s="1"/>
  <c r="L49" i="3" s="1"/>
  <c r="L50" i="3" s="1"/>
  <c r="L51" i="3" s="1"/>
  <c r="L52" i="3" s="1"/>
  <c r="L53" i="3" s="1"/>
  <c r="L54" i="3" s="1"/>
  <c r="L55" i="3" s="1"/>
  <c r="L56" i="3" s="1"/>
  <c r="L57" i="3" s="1"/>
  <c r="L58" i="3" s="1"/>
  <c r="L59" i="3" s="1"/>
  <c r="L60" i="3" s="1"/>
  <c r="L61" i="3" s="1"/>
  <c r="L62" i="3" s="1"/>
  <c r="L63" i="3" s="1"/>
  <c r="L64" i="3" s="1"/>
  <c r="L65" i="3" s="1"/>
  <c r="L66" i="3" s="1"/>
  <c r="L67" i="3" s="1"/>
  <c r="L68" i="3" s="1"/>
  <c r="L69" i="3" s="1"/>
  <c r="L70" i="3" s="1"/>
  <c r="L71" i="3" s="1"/>
  <c r="L72" i="3" s="1"/>
  <c r="L73" i="3" s="1"/>
  <c r="L74" i="3" s="1"/>
  <c r="L75" i="3" s="1"/>
  <c r="L76" i="3" s="1"/>
  <c r="L77" i="3" s="1"/>
  <c r="L78" i="3" s="1"/>
  <c r="L79" i="3" s="1"/>
  <c r="L80" i="3" s="1"/>
  <c r="L81" i="3" s="1"/>
  <c r="L82" i="3" s="1"/>
  <c r="L83" i="3" s="1"/>
  <c r="L84" i="3" s="1"/>
  <c r="L85" i="3" s="1"/>
  <c r="L86" i="3" s="1"/>
  <c r="L87" i="3" s="1"/>
  <c r="L88" i="3" s="1"/>
  <c r="L89" i="3" s="1"/>
  <c r="L90" i="3" s="1"/>
  <c r="L91" i="3" s="1"/>
  <c r="L92" i="3" s="1"/>
  <c r="L93" i="3" s="1"/>
  <c r="L94" i="3" s="1"/>
  <c r="L95" i="3" s="1"/>
  <c r="L96" i="3" s="1"/>
  <c r="L97" i="3" s="1"/>
  <c r="L98" i="3" s="1"/>
  <c r="L99" i="3" s="1"/>
  <c r="L100" i="3" s="1"/>
  <c r="L101" i="3" s="1"/>
  <c r="L102" i="3" s="1"/>
  <c r="L103" i="3" s="1"/>
  <c r="L104" i="3" s="1"/>
  <c r="L105" i="3" s="1"/>
  <c r="L106" i="3" s="1"/>
  <c r="L107" i="3" s="1"/>
  <c r="L108" i="3" s="1"/>
  <c r="L109" i="3" s="1"/>
  <c r="L110" i="3" s="1"/>
  <c r="D10" i="3"/>
  <c r="M10" i="3" s="1"/>
  <c r="M9" i="3"/>
  <c r="D9" i="3"/>
  <c r="R8" i="3"/>
  <c r="R9" i="3" s="1"/>
  <c r="R10" i="3" s="1"/>
  <c r="R11" i="3" s="1"/>
  <c r="R12" i="3" s="1"/>
  <c r="R13" i="3" s="1"/>
  <c r="R14" i="3" s="1"/>
  <c r="R15" i="3" s="1"/>
  <c r="R16" i="3" s="1"/>
  <c r="R17" i="3" s="1"/>
  <c r="R18" i="3" s="1"/>
  <c r="R19" i="3" s="1"/>
  <c r="R20" i="3" s="1"/>
  <c r="R21" i="3" s="1"/>
  <c r="R22" i="3" s="1"/>
  <c r="R23" i="3" s="1"/>
  <c r="R24" i="3" s="1"/>
  <c r="R25" i="3" s="1"/>
  <c r="R26" i="3" s="1"/>
  <c r="R27" i="3" s="1"/>
  <c r="R28" i="3" s="1"/>
  <c r="R29" i="3" s="1"/>
  <c r="R30" i="3" s="1"/>
  <c r="R31" i="3" s="1"/>
  <c r="R32" i="3" s="1"/>
  <c r="R33" i="3" s="1"/>
  <c r="R34" i="3" s="1"/>
  <c r="R35" i="3" s="1"/>
  <c r="R36" i="3" s="1"/>
  <c r="R37" i="3" s="1"/>
  <c r="R38" i="3" s="1"/>
  <c r="R39" i="3" s="1"/>
  <c r="R40" i="3" s="1"/>
  <c r="R41" i="3" s="1"/>
  <c r="R42" i="3" s="1"/>
  <c r="R43" i="3" s="1"/>
  <c r="R44" i="3" s="1"/>
  <c r="R45" i="3" s="1"/>
  <c r="R46" i="3" s="1"/>
  <c r="R47" i="3" s="1"/>
  <c r="R48" i="3" s="1"/>
  <c r="R49" i="3" s="1"/>
  <c r="R50" i="3" s="1"/>
  <c r="R51" i="3" s="1"/>
  <c r="R52" i="3" s="1"/>
  <c r="R53" i="3" s="1"/>
  <c r="R54" i="3" s="1"/>
  <c r="R55" i="3" s="1"/>
  <c r="R56" i="3" s="1"/>
  <c r="R57" i="3" s="1"/>
  <c r="R58" i="3" s="1"/>
  <c r="R59" i="3" s="1"/>
  <c r="R60" i="3" s="1"/>
  <c r="R61" i="3" s="1"/>
  <c r="R62" i="3" s="1"/>
  <c r="R63" i="3" s="1"/>
  <c r="R64" i="3" s="1"/>
  <c r="R65" i="3" s="1"/>
  <c r="R66" i="3" s="1"/>
  <c r="R67" i="3" s="1"/>
  <c r="R68" i="3" s="1"/>
  <c r="R69" i="3" s="1"/>
  <c r="R70" i="3" s="1"/>
  <c r="R71" i="3" s="1"/>
  <c r="R72" i="3" s="1"/>
  <c r="R73" i="3" s="1"/>
  <c r="R74" i="3" s="1"/>
  <c r="R75" i="3" s="1"/>
  <c r="R76" i="3" s="1"/>
  <c r="R77" i="3" s="1"/>
  <c r="R78" i="3" s="1"/>
  <c r="R79" i="3" s="1"/>
  <c r="R80" i="3" s="1"/>
  <c r="D8" i="3"/>
  <c r="M8" i="3" s="1"/>
  <c r="A8" i="3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D7" i="3"/>
  <c r="M7" i="3" s="1"/>
  <c r="U6" i="3"/>
  <c r="D6" i="3"/>
  <c r="M6" i="3" s="1"/>
  <c r="A6" i="3"/>
  <c r="A7" i="3" s="1"/>
  <c r="U5" i="3"/>
  <c r="N5" i="3"/>
  <c r="D5" i="3"/>
  <c r="M5" i="3" s="1"/>
  <c r="U6" i="2"/>
  <c r="U5" i="2"/>
  <c r="R9" i="2"/>
  <c r="R10" i="2" s="1"/>
  <c r="R11" i="2" s="1"/>
  <c r="R12" i="2" s="1"/>
  <c r="R13" i="2" s="1"/>
  <c r="R14" i="2" s="1"/>
  <c r="R15" i="2" s="1"/>
  <c r="R16" i="2" s="1"/>
  <c r="R17" i="2" s="1"/>
  <c r="R18" i="2" s="1"/>
  <c r="R19" i="2" s="1"/>
  <c r="R20" i="2" s="1"/>
  <c r="R21" i="2" s="1"/>
  <c r="R22" i="2" s="1"/>
  <c r="R23" i="2" s="1"/>
  <c r="R24" i="2" s="1"/>
  <c r="R25" i="2" s="1"/>
  <c r="R26" i="2" s="1"/>
  <c r="R27" i="2" s="1"/>
  <c r="R28" i="2" s="1"/>
  <c r="R29" i="2" s="1"/>
  <c r="R30" i="2" s="1"/>
  <c r="R31" i="2" s="1"/>
  <c r="R32" i="2" s="1"/>
  <c r="R33" i="2" s="1"/>
  <c r="R34" i="2" s="1"/>
  <c r="R35" i="2" s="1"/>
  <c r="R36" i="2" s="1"/>
  <c r="R37" i="2" s="1"/>
  <c r="R38" i="2" s="1"/>
  <c r="R39" i="2" s="1"/>
  <c r="R40" i="2" s="1"/>
  <c r="R41" i="2" s="1"/>
  <c r="R42" i="2" s="1"/>
  <c r="R43" i="2" s="1"/>
  <c r="R44" i="2" s="1"/>
  <c r="R45" i="2" s="1"/>
  <c r="R46" i="2" s="1"/>
  <c r="R47" i="2" s="1"/>
  <c r="R48" i="2" s="1"/>
  <c r="R49" i="2" s="1"/>
  <c r="R50" i="2" s="1"/>
  <c r="R51" i="2" s="1"/>
  <c r="R52" i="2" s="1"/>
  <c r="R53" i="2" s="1"/>
  <c r="R54" i="2" s="1"/>
  <c r="R55" i="2" s="1"/>
  <c r="R56" i="2" s="1"/>
  <c r="R57" i="2" s="1"/>
  <c r="R58" i="2" s="1"/>
  <c r="R59" i="2" s="1"/>
  <c r="R60" i="2" s="1"/>
  <c r="R61" i="2" s="1"/>
  <c r="R62" i="2" s="1"/>
  <c r="R63" i="2" s="1"/>
  <c r="R64" i="2" s="1"/>
  <c r="R65" i="2" s="1"/>
  <c r="R66" i="2" s="1"/>
  <c r="R67" i="2" s="1"/>
  <c r="R68" i="2" s="1"/>
  <c r="R69" i="2" s="1"/>
  <c r="R70" i="2" s="1"/>
  <c r="R71" i="2" s="1"/>
  <c r="R72" i="2" s="1"/>
  <c r="R73" i="2" s="1"/>
  <c r="R74" i="2" s="1"/>
  <c r="R75" i="2" s="1"/>
  <c r="R76" i="2" s="1"/>
  <c r="R77" i="2" s="1"/>
  <c r="R78" i="2" s="1"/>
  <c r="R79" i="2" s="1"/>
  <c r="R80" i="2" s="1"/>
  <c r="R8" i="2"/>
  <c r="D7" i="2"/>
  <c r="M7" i="2" s="1"/>
  <c r="D8" i="2"/>
  <c r="M8" i="2" s="1"/>
  <c r="D9" i="2"/>
  <c r="D10" i="2"/>
  <c r="M10" i="2" s="1"/>
  <c r="D11" i="2"/>
  <c r="M11" i="2" s="1"/>
  <c r="D12" i="2"/>
  <c r="M12" i="2" s="1"/>
  <c r="D13" i="2"/>
  <c r="D14" i="2"/>
  <c r="M14" i="2" s="1"/>
  <c r="D15" i="2"/>
  <c r="M15" i="2" s="1"/>
  <c r="D16" i="2"/>
  <c r="M16" i="2" s="1"/>
  <c r="D17" i="2"/>
  <c r="M17" i="2" s="1"/>
  <c r="D18" i="2"/>
  <c r="M18" i="2" s="1"/>
  <c r="D19" i="2"/>
  <c r="M19" i="2" s="1"/>
  <c r="D20" i="2"/>
  <c r="M20" i="2" s="1"/>
  <c r="D21" i="2"/>
  <c r="D22" i="2"/>
  <c r="M22" i="2" s="1"/>
  <c r="D23" i="2"/>
  <c r="M23" i="2" s="1"/>
  <c r="D24" i="2"/>
  <c r="M24" i="2" s="1"/>
  <c r="D25" i="2"/>
  <c r="D26" i="2"/>
  <c r="M26" i="2" s="1"/>
  <c r="D27" i="2"/>
  <c r="M27" i="2" s="1"/>
  <c r="D28" i="2"/>
  <c r="M28" i="2" s="1"/>
  <c r="D29" i="2"/>
  <c r="D30" i="2"/>
  <c r="M30" i="2" s="1"/>
  <c r="D31" i="2"/>
  <c r="M31" i="2" s="1"/>
  <c r="D32" i="2"/>
  <c r="M32" i="2" s="1"/>
  <c r="D33" i="2"/>
  <c r="M33" i="2" s="1"/>
  <c r="D34" i="2"/>
  <c r="M34" i="2" s="1"/>
  <c r="D35" i="2"/>
  <c r="M35" i="2" s="1"/>
  <c r="D36" i="2"/>
  <c r="M36" i="2" s="1"/>
  <c r="D37" i="2"/>
  <c r="D38" i="2"/>
  <c r="M38" i="2" s="1"/>
  <c r="D39" i="2"/>
  <c r="M39" i="2" s="1"/>
  <c r="D40" i="2"/>
  <c r="M40" i="2" s="1"/>
  <c r="D41" i="2"/>
  <c r="D42" i="2"/>
  <c r="M42" i="2" s="1"/>
  <c r="D43" i="2"/>
  <c r="M43" i="2" s="1"/>
  <c r="D44" i="2"/>
  <c r="M44" i="2" s="1"/>
  <c r="D45" i="2"/>
  <c r="D46" i="2"/>
  <c r="M46" i="2" s="1"/>
  <c r="D47" i="2"/>
  <c r="M47" i="2" s="1"/>
  <c r="D48" i="2"/>
  <c r="M48" i="2" s="1"/>
  <c r="D49" i="2"/>
  <c r="M49" i="2" s="1"/>
  <c r="D50" i="2"/>
  <c r="M50" i="2" s="1"/>
  <c r="D51" i="2"/>
  <c r="M51" i="2" s="1"/>
  <c r="D52" i="2"/>
  <c r="M52" i="2" s="1"/>
  <c r="D53" i="2"/>
  <c r="D6" i="2"/>
  <c r="M6" i="2"/>
  <c r="M9" i="2"/>
  <c r="M13" i="2"/>
  <c r="M21" i="2"/>
  <c r="M25" i="2"/>
  <c r="M29" i="2"/>
  <c r="M37" i="2"/>
  <c r="M41" i="2"/>
  <c r="M45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F17" i="2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L10" i="2"/>
  <c r="L11" i="2" s="1"/>
  <c r="L12" i="2" s="1"/>
  <c r="L13" i="2" s="1"/>
  <c r="L14" i="2" s="1"/>
  <c r="L15" i="2" s="1"/>
  <c r="L16" i="2" s="1"/>
  <c r="L17" i="2" s="1"/>
  <c r="L18" i="2" s="1"/>
  <c r="L19" i="2" s="1"/>
  <c r="L20" i="2" s="1"/>
  <c r="L21" i="2" s="1"/>
  <c r="L22" i="2" s="1"/>
  <c r="L23" i="2" s="1"/>
  <c r="L24" i="2" s="1"/>
  <c r="L25" i="2" s="1"/>
  <c r="L26" i="2" s="1"/>
  <c r="L27" i="2" s="1"/>
  <c r="L28" i="2" s="1"/>
  <c r="L29" i="2" s="1"/>
  <c r="L30" i="2" s="1"/>
  <c r="L31" i="2" s="1"/>
  <c r="L32" i="2" s="1"/>
  <c r="L33" i="2" s="1"/>
  <c r="L34" i="2" s="1"/>
  <c r="L35" i="2" s="1"/>
  <c r="L36" i="2" s="1"/>
  <c r="L37" i="2" s="1"/>
  <c r="L38" i="2" s="1"/>
  <c r="L39" i="2" s="1"/>
  <c r="L40" i="2" s="1"/>
  <c r="L41" i="2" s="1"/>
  <c r="L42" i="2" s="1"/>
  <c r="L43" i="2" s="1"/>
  <c r="L44" i="2" s="1"/>
  <c r="L45" i="2" s="1"/>
  <c r="L46" i="2" s="1"/>
  <c r="L47" i="2" s="1"/>
  <c r="L48" i="2" s="1"/>
  <c r="L49" i="2" s="1"/>
  <c r="L50" i="2" s="1"/>
  <c r="L51" i="2" s="1"/>
  <c r="L52" i="2" s="1"/>
  <c r="L53" i="2" s="1"/>
  <c r="L54" i="2" s="1"/>
  <c r="L55" i="2" s="1"/>
  <c r="L56" i="2" s="1"/>
  <c r="L57" i="2" s="1"/>
  <c r="L58" i="2" s="1"/>
  <c r="L59" i="2" s="1"/>
  <c r="L60" i="2" s="1"/>
  <c r="L61" i="2" s="1"/>
  <c r="L62" i="2" s="1"/>
  <c r="L63" i="2" s="1"/>
  <c r="L64" i="2" s="1"/>
  <c r="L65" i="2" s="1"/>
  <c r="L66" i="2" s="1"/>
  <c r="L67" i="2" s="1"/>
  <c r="L68" i="2" s="1"/>
  <c r="L69" i="2" s="1"/>
  <c r="L70" i="2" s="1"/>
  <c r="L71" i="2" s="1"/>
  <c r="L72" i="2" s="1"/>
  <c r="L73" i="2" s="1"/>
  <c r="L74" i="2" s="1"/>
  <c r="L75" i="2" s="1"/>
  <c r="L76" i="2" s="1"/>
  <c r="L77" i="2" s="1"/>
  <c r="L78" i="2" s="1"/>
  <c r="L79" i="2" s="1"/>
  <c r="L80" i="2" s="1"/>
  <c r="L81" i="2" s="1"/>
  <c r="L82" i="2" s="1"/>
  <c r="L83" i="2" s="1"/>
  <c r="L84" i="2" s="1"/>
  <c r="L85" i="2" s="1"/>
  <c r="L86" i="2" s="1"/>
  <c r="L87" i="2" s="1"/>
  <c r="L88" i="2" s="1"/>
  <c r="L89" i="2" s="1"/>
  <c r="L90" i="2" s="1"/>
  <c r="L91" i="2" s="1"/>
  <c r="L92" i="2" s="1"/>
  <c r="L93" i="2" s="1"/>
  <c r="L94" i="2" s="1"/>
  <c r="L95" i="2" s="1"/>
  <c r="L96" i="2" s="1"/>
  <c r="L97" i="2" s="1"/>
  <c r="L98" i="2" s="1"/>
  <c r="L99" i="2" s="1"/>
  <c r="L100" i="2" s="1"/>
  <c r="L101" i="2" s="1"/>
  <c r="L102" i="2" s="1"/>
  <c r="L103" i="2" s="1"/>
  <c r="L104" i="2" s="1"/>
  <c r="L105" i="2" s="1"/>
  <c r="L106" i="2" s="1"/>
  <c r="L107" i="2" s="1"/>
  <c r="L108" i="2" s="1"/>
  <c r="L109" i="2" s="1"/>
  <c r="L110" i="2" s="1"/>
  <c r="N5" i="2"/>
  <c r="D5" i="2"/>
  <c r="M5" i="2" s="1"/>
  <c r="A6" i="2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N5" i="1"/>
  <c r="N6" i="1"/>
  <c r="L10" i="1"/>
  <c r="L11" i="1" s="1"/>
  <c r="L12" i="1" s="1"/>
  <c r="L13" i="1" s="1"/>
  <c r="L14" i="1" s="1"/>
  <c r="L15" i="1" s="1"/>
  <c r="L16" i="1" s="1"/>
  <c r="L17" i="1" s="1"/>
  <c r="L18" i="1" s="1"/>
  <c r="L19" i="1" s="1"/>
  <c r="L20" i="1" s="1"/>
  <c r="L21" i="1" s="1"/>
  <c r="L22" i="1" s="1"/>
  <c r="L23" i="1" s="1"/>
  <c r="L24" i="1" s="1"/>
  <c r="L25" i="1" s="1"/>
  <c r="L26" i="1" s="1"/>
  <c r="L27" i="1" s="1"/>
  <c r="L28" i="1" s="1"/>
  <c r="L29" i="1" s="1"/>
  <c r="L30" i="1" s="1"/>
  <c r="L31" i="1" s="1"/>
  <c r="L32" i="1" s="1"/>
  <c r="L33" i="1" s="1"/>
  <c r="L34" i="1" s="1"/>
  <c r="L35" i="1" s="1"/>
  <c r="L36" i="1" s="1"/>
  <c r="L37" i="1" s="1"/>
  <c r="L38" i="1" s="1"/>
  <c r="L39" i="1" s="1"/>
  <c r="L40" i="1" s="1"/>
  <c r="L41" i="1" s="1"/>
  <c r="L42" i="1" s="1"/>
  <c r="L43" i="1" s="1"/>
  <c r="L44" i="1" s="1"/>
  <c r="L45" i="1" s="1"/>
  <c r="L46" i="1" s="1"/>
  <c r="L47" i="1" s="1"/>
  <c r="L48" i="1" s="1"/>
  <c r="L49" i="1" s="1"/>
  <c r="L50" i="1" s="1"/>
  <c r="L51" i="1" s="1"/>
  <c r="L52" i="1" s="1"/>
  <c r="L53" i="1" s="1"/>
  <c r="L54" i="1" s="1"/>
  <c r="L55" i="1" s="1"/>
  <c r="L56" i="1" s="1"/>
  <c r="L57" i="1" s="1"/>
  <c r="L58" i="1" s="1"/>
  <c r="L59" i="1" s="1"/>
  <c r="L60" i="1" s="1"/>
  <c r="L61" i="1" s="1"/>
  <c r="L62" i="1" s="1"/>
  <c r="L63" i="1" s="1"/>
  <c r="L64" i="1" s="1"/>
  <c r="L65" i="1" s="1"/>
  <c r="L66" i="1" s="1"/>
  <c r="L67" i="1" s="1"/>
  <c r="L68" i="1" s="1"/>
  <c r="L69" i="1" s="1"/>
  <c r="L70" i="1" s="1"/>
  <c r="L71" i="1" s="1"/>
  <c r="L72" i="1" s="1"/>
  <c r="L73" i="1" s="1"/>
  <c r="L74" i="1" s="1"/>
  <c r="L75" i="1" s="1"/>
  <c r="L76" i="1" s="1"/>
  <c r="L77" i="1" s="1"/>
  <c r="L78" i="1" s="1"/>
  <c r="L79" i="1" s="1"/>
  <c r="L80" i="1" s="1"/>
  <c r="L81" i="1" s="1"/>
  <c r="L82" i="1" s="1"/>
  <c r="L83" i="1" s="1"/>
  <c r="L84" i="1" s="1"/>
  <c r="L85" i="1" s="1"/>
  <c r="L86" i="1" s="1"/>
  <c r="L87" i="1" s="1"/>
  <c r="L88" i="1" s="1"/>
  <c r="L89" i="1" s="1"/>
  <c r="L90" i="1" s="1"/>
  <c r="L91" i="1" s="1"/>
  <c r="L92" i="1" s="1"/>
  <c r="L93" i="1" s="1"/>
  <c r="L94" i="1" s="1"/>
  <c r="L95" i="1" s="1"/>
  <c r="L96" i="1" s="1"/>
  <c r="L97" i="1" s="1"/>
  <c r="L98" i="1" s="1"/>
  <c r="L99" i="1" s="1"/>
  <c r="L100" i="1" s="1"/>
  <c r="L101" i="1" s="1"/>
  <c r="L102" i="1" s="1"/>
  <c r="L103" i="1" s="1"/>
  <c r="L104" i="1" s="1"/>
  <c r="L105" i="1" s="1"/>
  <c r="L106" i="1" s="1"/>
  <c r="L107" i="1" s="1"/>
  <c r="L108" i="1" s="1"/>
  <c r="L109" i="1" s="1"/>
  <c r="L110" i="1" s="1"/>
  <c r="F17" i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N6" i="2" l="1"/>
  <c r="U7" i="2" s="1"/>
  <c r="C6" i="6"/>
  <c r="Q6" i="6"/>
  <c r="F21" i="7"/>
  <c r="F17" i="7"/>
  <c r="F13" i="7"/>
  <c r="F9" i="7"/>
  <c r="L23" i="7"/>
  <c r="L19" i="7"/>
  <c r="L15" i="7"/>
  <c r="L11" i="7"/>
  <c r="F20" i="7"/>
  <c r="F16" i="7"/>
  <c r="F12" i="7"/>
  <c r="F8" i="7"/>
  <c r="L22" i="7"/>
  <c r="L18" i="7"/>
  <c r="L14" i="7"/>
  <c r="L10" i="7"/>
  <c r="F23" i="7"/>
  <c r="F19" i="7"/>
  <c r="F15" i="7"/>
  <c r="F11" i="7"/>
  <c r="F7" i="7"/>
  <c r="L21" i="7"/>
  <c r="L17" i="7"/>
  <c r="L13" i="7"/>
  <c r="L9" i="7"/>
  <c r="N6" i="3"/>
  <c r="U7" i="3" s="1"/>
  <c r="I16" i="7"/>
  <c r="I8" i="7"/>
  <c r="G22" i="7"/>
  <c r="G14" i="7"/>
  <c r="H20" i="7"/>
  <c r="H16" i="7"/>
  <c r="H8" i="7"/>
  <c r="I23" i="7"/>
  <c r="I11" i="7"/>
  <c r="G8" i="7"/>
  <c r="H23" i="7"/>
  <c r="H19" i="7"/>
  <c r="H15" i="7"/>
  <c r="H11" i="7"/>
  <c r="H7" i="7"/>
  <c r="I22" i="7"/>
  <c r="I18" i="7"/>
  <c r="I14" i="7"/>
  <c r="I10" i="7"/>
  <c r="I12" i="7"/>
  <c r="G18" i="7"/>
  <c r="G10" i="7"/>
  <c r="H12" i="7"/>
  <c r="I19" i="7"/>
  <c r="I15" i="7"/>
  <c r="I7" i="7"/>
  <c r="I21" i="7"/>
  <c r="I17" i="7"/>
  <c r="I13" i="7"/>
  <c r="I9" i="7"/>
  <c r="G21" i="7"/>
  <c r="G17" i="7"/>
  <c r="G13" i="7"/>
  <c r="G9" i="7"/>
  <c r="H22" i="7"/>
  <c r="H18" i="7"/>
  <c r="H14" i="7"/>
  <c r="H10" i="7"/>
  <c r="G7" i="7"/>
  <c r="G20" i="7"/>
  <c r="G16" i="7"/>
  <c r="G12" i="7"/>
  <c r="H21" i="7"/>
  <c r="H17" i="7"/>
  <c r="H13" i="7"/>
  <c r="H9" i="7"/>
  <c r="G23" i="7"/>
  <c r="G19" i="7"/>
  <c r="G15" i="7"/>
  <c r="G11" i="7"/>
  <c r="D6" i="6"/>
  <c r="R6" i="6"/>
  <c r="K6" i="6"/>
  <c r="S7" i="5"/>
  <c r="R7" i="6" s="1"/>
  <c r="Q7" i="5"/>
  <c r="D7" i="6" s="1"/>
  <c r="R7" i="5"/>
  <c r="K7" i="6" s="1"/>
  <c r="D6" i="4"/>
  <c r="M6" i="4" s="1"/>
  <c r="N7" i="4" s="1"/>
  <c r="N7" i="3"/>
  <c r="N7" i="2"/>
  <c r="N7" i="1"/>
  <c r="N8" i="1" s="1"/>
  <c r="N9" i="1" s="1"/>
  <c r="N10" i="1" s="1"/>
  <c r="N11" i="1" s="1"/>
  <c r="N12" i="1" s="1"/>
  <c r="N13" i="1" s="1"/>
  <c r="N14" i="1" s="1"/>
  <c r="N15" i="1" s="1"/>
  <c r="N16" i="1" s="1"/>
  <c r="N17" i="1" s="1"/>
  <c r="N18" i="1" s="1"/>
  <c r="N19" i="1" s="1"/>
  <c r="N20" i="1" s="1"/>
  <c r="N21" i="1" s="1"/>
  <c r="N22" i="1" s="1"/>
  <c r="N23" i="1" s="1"/>
  <c r="N24" i="1" s="1"/>
  <c r="N25" i="1" s="1"/>
  <c r="N26" i="1" s="1"/>
  <c r="N27" i="1" s="1"/>
  <c r="N28" i="1" s="1"/>
  <c r="N29" i="1" s="1"/>
  <c r="N30" i="1" s="1"/>
  <c r="N31" i="1" s="1"/>
  <c r="N32" i="1" s="1"/>
  <c r="N33" i="1" s="1"/>
  <c r="N34" i="1" s="1"/>
  <c r="N35" i="1" s="1"/>
  <c r="N36" i="1" s="1"/>
  <c r="N37" i="1" s="1"/>
  <c r="N38" i="1" s="1"/>
  <c r="N39" i="1" s="1"/>
  <c r="N40" i="1" s="1"/>
  <c r="N41" i="1" s="1"/>
  <c r="N42" i="1" s="1"/>
  <c r="N43" i="1" s="1"/>
  <c r="N44" i="1" s="1"/>
  <c r="N45" i="1" s="1"/>
  <c r="N46" i="1" s="1"/>
  <c r="N47" i="1" s="1"/>
  <c r="N48" i="1" s="1"/>
  <c r="N49" i="1" s="1"/>
  <c r="N50" i="1" s="1"/>
  <c r="N51" i="1" s="1"/>
  <c r="N52" i="1" s="1"/>
  <c r="N53" i="1" s="1"/>
  <c r="N54" i="1" s="1"/>
  <c r="N55" i="1" s="1"/>
  <c r="N56" i="1" s="1"/>
  <c r="N57" i="1" s="1"/>
  <c r="N58" i="1" s="1"/>
  <c r="N59" i="1" s="1"/>
  <c r="N60" i="1" s="1"/>
  <c r="N61" i="1" s="1"/>
  <c r="N62" i="1" s="1"/>
  <c r="N63" i="1" s="1"/>
  <c r="N64" i="1" s="1"/>
  <c r="N65" i="1" s="1"/>
  <c r="N66" i="1" s="1"/>
  <c r="N67" i="1" s="1"/>
  <c r="N68" i="1" s="1"/>
  <c r="N69" i="1" s="1"/>
  <c r="N70" i="1" s="1"/>
  <c r="J6" i="6" l="1"/>
  <c r="M6" i="6" s="1"/>
  <c r="S6" i="6"/>
  <c r="N8" i="2"/>
  <c r="U8" i="2"/>
  <c r="E6" i="6"/>
  <c r="I6" i="9"/>
  <c r="L6" i="6"/>
  <c r="T6" i="6"/>
  <c r="J6" i="9"/>
  <c r="F6" i="6"/>
  <c r="H6" i="9"/>
  <c r="Q8" i="5"/>
  <c r="D8" i="6" s="1"/>
  <c r="W7" i="5"/>
  <c r="S8" i="5"/>
  <c r="R8" i="6" s="1"/>
  <c r="AA7" i="5"/>
  <c r="R8" i="5"/>
  <c r="K8" i="6" s="1"/>
  <c r="Y7" i="5"/>
  <c r="D7" i="4"/>
  <c r="M7" i="4" s="1"/>
  <c r="N8" i="4" s="1"/>
  <c r="U8" i="4"/>
  <c r="N8" i="3"/>
  <c r="U8" i="3"/>
  <c r="U9" i="2" l="1"/>
  <c r="N9" i="2"/>
  <c r="Q9" i="5"/>
  <c r="D9" i="6" s="1"/>
  <c r="W8" i="5"/>
  <c r="S9" i="5"/>
  <c r="R9" i="6" s="1"/>
  <c r="AA8" i="5"/>
  <c r="R9" i="5"/>
  <c r="K9" i="6" s="1"/>
  <c r="Y8" i="5"/>
  <c r="D8" i="4"/>
  <c r="M8" i="4" s="1"/>
  <c r="N9" i="4" s="1"/>
  <c r="U9" i="4"/>
  <c r="U9" i="3"/>
  <c r="N9" i="3"/>
  <c r="N10" i="2" l="1"/>
  <c r="U10" i="2"/>
  <c r="Q10" i="5"/>
  <c r="D10" i="6" s="1"/>
  <c r="W9" i="5"/>
  <c r="S10" i="5"/>
  <c r="R10" i="6" s="1"/>
  <c r="AA9" i="5"/>
  <c r="R10" i="5"/>
  <c r="K10" i="6" s="1"/>
  <c r="Y9" i="5"/>
  <c r="D9" i="4"/>
  <c r="M9" i="4" s="1"/>
  <c r="N10" i="4" s="1"/>
  <c r="Q7" i="6" s="1"/>
  <c r="U10" i="4"/>
  <c r="U10" i="3"/>
  <c r="N10" i="3"/>
  <c r="J7" i="6" s="1"/>
  <c r="I7" i="9" l="1"/>
  <c r="L7" i="6"/>
  <c r="M7" i="6"/>
  <c r="S7" i="6"/>
  <c r="T7" i="6"/>
  <c r="J7" i="9"/>
  <c r="N11" i="2"/>
  <c r="U11" i="2"/>
  <c r="C7" i="6"/>
  <c r="S11" i="5"/>
  <c r="R11" i="6" s="1"/>
  <c r="AA10" i="5"/>
  <c r="Q11" i="5"/>
  <c r="D11" i="6" s="1"/>
  <c r="W10" i="5"/>
  <c r="R11" i="5"/>
  <c r="K11" i="6" s="1"/>
  <c r="Y10" i="5"/>
  <c r="D10" i="4"/>
  <c r="M10" i="4" s="1"/>
  <c r="N11" i="4" s="1"/>
  <c r="U11" i="4"/>
  <c r="N11" i="3"/>
  <c r="U11" i="3"/>
  <c r="N12" i="2" l="1"/>
  <c r="U12" i="2"/>
  <c r="F7" i="6"/>
  <c r="E7" i="6"/>
  <c r="H7" i="9"/>
  <c r="S12" i="5"/>
  <c r="R12" i="6" s="1"/>
  <c r="AA11" i="5"/>
  <c r="Q12" i="5"/>
  <c r="D12" i="6" s="1"/>
  <c r="W11" i="5"/>
  <c r="R12" i="5"/>
  <c r="K12" i="6" s="1"/>
  <c r="Y11" i="5"/>
  <c r="D11" i="4"/>
  <c r="M11" i="4" s="1"/>
  <c r="N12" i="4" s="1"/>
  <c r="U12" i="4"/>
  <c r="U12" i="3"/>
  <c r="N12" i="3"/>
  <c r="N13" i="2" l="1"/>
  <c r="U13" i="2"/>
  <c r="S13" i="5"/>
  <c r="R13" i="6" s="1"/>
  <c r="AA12" i="5"/>
  <c r="Q13" i="5"/>
  <c r="D13" i="6" s="1"/>
  <c r="W12" i="5"/>
  <c r="R13" i="5"/>
  <c r="K13" i="6" s="1"/>
  <c r="Y12" i="5"/>
  <c r="D12" i="4"/>
  <c r="M12" i="4" s="1"/>
  <c r="N13" i="4" s="1"/>
  <c r="Q8" i="6" s="1"/>
  <c r="U13" i="4"/>
  <c r="U13" i="3"/>
  <c r="N13" i="3"/>
  <c r="J8" i="6" s="1"/>
  <c r="T8" i="6" l="1"/>
  <c r="S8" i="6"/>
  <c r="J8" i="9"/>
  <c r="M8" i="6"/>
  <c r="I8" i="9"/>
  <c r="L8" i="6"/>
  <c r="N14" i="2"/>
  <c r="U14" i="2"/>
  <c r="C8" i="6"/>
  <c r="S14" i="5"/>
  <c r="R14" i="6" s="1"/>
  <c r="AA13" i="5"/>
  <c r="Q14" i="5"/>
  <c r="D14" i="6" s="1"/>
  <c r="W13" i="5"/>
  <c r="R14" i="5"/>
  <c r="K14" i="6" s="1"/>
  <c r="Y13" i="5"/>
  <c r="D13" i="4"/>
  <c r="M13" i="4" s="1"/>
  <c r="N14" i="4" s="1"/>
  <c r="U14" i="4"/>
  <c r="U14" i="3"/>
  <c r="N14" i="3"/>
  <c r="E8" i="6" l="1"/>
  <c r="F8" i="6"/>
  <c r="H8" i="9"/>
  <c r="N15" i="2"/>
  <c r="U15" i="2"/>
  <c r="S15" i="5"/>
  <c r="R15" i="6" s="1"/>
  <c r="AA14" i="5"/>
  <c r="Q15" i="5"/>
  <c r="D15" i="6" s="1"/>
  <c r="W14" i="5"/>
  <c r="R15" i="5"/>
  <c r="K15" i="6" s="1"/>
  <c r="Y14" i="5"/>
  <c r="D14" i="4"/>
  <c r="M14" i="4" s="1"/>
  <c r="N15" i="4" s="1"/>
  <c r="U15" i="4"/>
  <c r="N15" i="3"/>
  <c r="U15" i="3"/>
  <c r="C9" i="6" l="1"/>
  <c r="J9" i="6"/>
  <c r="N16" i="2"/>
  <c r="U16" i="2"/>
  <c r="S16" i="5"/>
  <c r="R16" i="6" s="1"/>
  <c r="AA15" i="5"/>
  <c r="Q16" i="5"/>
  <c r="D16" i="6" s="1"/>
  <c r="W15" i="5"/>
  <c r="R16" i="5"/>
  <c r="K16" i="6" s="1"/>
  <c r="Y15" i="5"/>
  <c r="D15" i="4"/>
  <c r="M15" i="4" s="1"/>
  <c r="N16" i="4" s="1"/>
  <c r="Q9" i="6" s="1"/>
  <c r="U16" i="4"/>
  <c r="U16" i="3"/>
  <c r="N16" i="3"/>
  <c r="T9" i="6" l="1"/>
  <c r="J9" i="9"/>
  <c r="S9" i="6"/>
  <c r="M9" i="6"/>
  <c r="I9" i="9"/>
  <c r="L9" i="6"/>
  <c r="E9" i="6"/>
  <c r="F9" i="6"/>
  <c r="H9" i="9"/>
  <c r="N17" i="2"/>
  <c r="U17" i="2"/>
  <c r="S17" i="5"/>
  <c r="R17" i="6" s="1"/>
  <c r="AA16" i="5"/>
  <c r="Q17" i="5"/>
  <c r="D17" i="6" s="1"/>
  <c r="W16" i="5"/>
  <c r="R17" i="5"/>
  <c r="K17" i="6" s="1"/>
  <c r="Y16" i="5"/>
  <c r="D16" i="4"/>
  <c r="M16" i="4" s="1"/>
  <c r="N17" i="4" s="1"/>
  <c r="U17" i="4"/>
  <c r="U17" i="3"/>
  <c r="N17" i="3"/>
  <c r="N18" i="2" l="1"/>
  <c r="U18" i="2"/>
  <c r="S18" i="5"/>
  <c r="R18" i="6" s="1"/>
  <c r="AA17" i="5"/>
  <c r="Q18" i="5"/>
  <c r="D18" i="6" s="1"/>
  <c r="W17" i="5"/>
  <c r="R18" i="5"/>
  <c r="K18" i="6" s="1"/>
  <c r="Y17" i="5"/>
  <c r="D17" i="4"/>
  <c r="M17" i="4" s="1"/>
  <c r="N18" i="4" s="1"/>
  <c r="D18" i="4"/>
  <c r="M18" i="4" s="1"/>
  <c r="U18" i="4"/>
  <c r="U18" i="3"/>
  <c r="N18" i="3"/>
  <c r="N19" i="2" l="1"/>
  <c r="U19" i="2"/>
  <c r="S19" i="5"/>
  <c r="R19" i="6" s="1"/>
  <c r="AA18" i="5"/>
  <c r="Q19" i="5"/>
  <c r="D19" i="6" s="1"/>
  <c r="W18" i="5"/>
  <c r="R19" i="5"/>
  <c r="K19" i="6" s="1"/>
  <c r="Y18" i="5"/>
  <c r="U19" i="4"/>
  <c r="N19" i="4"/>
  <c r="Q10" i="6" s="1"/>
  <c r="U19" i="3"/>
  <c r="N19" i="3"/>
  <c r="J10" i="6" s="1"/>
  <c r="M10" i="6" l="1"/>
  <c r="I10" i="9"/>
  <c r="L10" i="6"/>
  <c r="T10" i="6"/>
  <c r="S10" i="6"/>
  <c r="J10" i="9"/>
  <c r="N20" i="2"/>
  <c r="U20" i="2"/>
  <c r="C10" i="6"/>
  <c r="S20" i="5"/>
  <c r="R20" i="6" s="1"/>
  <c r="AA19" i="5"/>
  <c r="Q20" i="5"/>
  <c r="D20" i="6" s="1"/>
  <c r="W19" i="5"/>
  <c r="R20" i="5"/>
  <c r="K20" i="6" s="1"/>
  <c r="Y19" i="5"/>
  <c r="U20" i="4"/>
  <c r="N20" i="4"/>
  <c r="U20" i="3"/>
  <c r="N20" i="3"/>
  <c r="F10" i="6" l="1"/>
  <c r="E10" i="6"/>
  <c r="H10" i="9"/>
  <c r="N21" i="2"/>
  <c r="U21" i="2"/>
  <c r="S21" i="5"/>
  <c r="R21" i="6" s="1"/>
  <c r="AA20" i="5"/>
  <c r="Q21" i="5"/>
  <c r="D21" i="6" s="1"/>
  <c r="W20" i="5"/>
  <c r="R21" i="5"/>
  <c r="K21" i="6" s="1"/>
  <c r="Y20" i="5"/>
  <c r="U21" i="4"/>
  <c r="N21" i="4"/>
  <c r="U21" i="3"/>
  <c r="N21" i="3"/>
  <c r="N22" i="2" l="1"/>
  <c r="U22" i="2"/>
  <c r="S22" i="5"/>
  <c r="AA21" i="5"/>
  <c r="Q22" i="5"/>
  <c r="W21" i="5"/>
  <c r="R22" i="5"/>
  <c r="Y21" i="5"/>
  <c r="U22" i="4"/>
  <c r="N22" i="4"/>
  <c r="Q11" i="6" s="1"/>
  <c r="U22" i="3"/>
  <c r="N22" i="3"/>
  <c r="J11" i="6" s="1"/>
  <c r="L11" i="6" l="1"/>
  <c r="M11" i="6"/>
  <c r="I11" i="9"/>
  <c r="J11" i="9"/>
  <c r="S11" i="6"/>
  <c r="T11" i="6"/>
  <c r="N23" i="2"/>
  <c r="U23" i="2"/>
  <c r="C11" i="6"/>
  <c r="W22" i="5"/>
  <c r="D22" i="6"/>
  <c r="Y22" i="5"/>
  <c r="K22" i="6"/>
  <c r="AA22" i="5"/>
  <c r="R22" i="6"/>
  <c r="N23" i="4"/>
  <c r="U23" i="4"/>
  <c r="U23" i="3"/>
  <c r="N23" i="3"/>
  <c r="N24" i="2" l="1"/>
  <c r="U24" i="2"/>
  <c r="H11" i="9"/>
  <c r="E11" i="6"/>
  <c r="F11" i="6"/>
  <c r="U24" i="4"/>
  <c r="N24" i="4"/>
  <c r="U24" i="3"/>
  <c r="N24" i="3"/>
  <c r="N25" i="2" l="1"/>
  <c r="U25" i="2"/>
  <c r="N25" i="4"/>
  <c r="Q12" i="6" s="1"/>
  <c r="U25" i="4"/>
  <c r="U25" i="3"/>
  <c r="N25" i="3"/>
  <c r="J12" i="6" s="1"/>
  <c r="M12" i="6" l="1"/>
  <c r="I12" i="9"/>
  <c r="L12" i="6"/>
  <c r="T12" i="6"/>
  <c r="S12" i="6"/>
  <c r="J12" i="9"/>
  <c r="N26" i="2"/>
  <c r="U26" i="2"/>
  <c r="C12" i="6"/>
  <c r="U26" i="4"/>
  <c r="N26" i="4"/>
  <c r="U26" i="3"/>
  <c r="N26" i="3"/>
  <c r="N27" i="2" l="1"/>
  <c r="U27" i="2"/>
  <c r="E12" i="6"/>
  <c r="F12" i="6"/>
  <c r="H12" i="9"/>
  <c r="N27" i="4"/>
  <c r="U27" i="4"/>
  <c r="U27" i="3"/>
  <c r="N27" i="3"/>
  <c r="N28" i="2" l="1"/>
  <c r="C13" i="6" s="1"/>
  <c r="U28" i="2"/>
  <c r="U28" i="4"/>
  <c r="N28" i="4"/>
  <c r="Q13" i="6" s="1"/>
  <c r="U28" i="3"/>
  <c r="N28" i="3"/>
  <c r="J13" i="6" s="1"/>
  <c r="F13" i="6" l="1"/>
  <c r="E13" i="6"/>
  <c r="H13" i="9"/>
  <c r="S13" i="6"/>
  <c r="T13" i="6"/>
  <c r="J13" i="9"/>
  <c r="M13" i="6"/>
  <c r="L13" i="6"/>
  <c r="I13" i="9"/>
  <c r="N29" i="2"/>
  <c r="U29" i="2"/>
  <c r="N29" i="4"/>
  <c r="U29" i="4"/>
  <c r="U29" i="3"/>
  <c r="N29" i="3"/>
  <c r="N30" i="2" l="1"/>
  <c r="U30" i="2"/>
  <c r="U30" i="4"/>
  <c r="N30" i="4"/>
  <c r="U30" i="3"/>
  <c r="N30" i="3"/>
  <c r="C14" i="6" l="1"/>
  <c r="N31" i="2"/>
  <c r="U31" i="2"/>
  <c r="N31" i="4"/>
  <c r="Q14" i="6" s="1"/>
  <c r="U31" i="4"/>
  <c r="U31" i="3"/>
  <c r="N31" i="3"/>
  <c r="J14" i="6" s="1"/>
  <c r="L14" i="6" l="1"/>
  <c r="M14" i="6"/>
  <c r="I14" i="9"/>
  <c r="J14" i="9"/>
  <c r="S14" i="6"/>
  <c r="T14" i="6"/>
  <c r="H14" i="9"/>
  <c r="F14" i="6"/>
  <c r="E14" i="6"/>
  <c r="N32" i="2"/>
  <c r="U32" i="2"/>
  <c r="U32" i="4"/>
  <c r="N32" i="4"/>
  <c r="U32" i="3"/>
  <c r="N32" i="3"/>
  <c r="N33" i="2" l="1"/>
  <c r="U33" i="2"/>
  <c r="N33" i="4"/>
  <c r="U33" i="4"/>
  <c r="U33" i="3"/>
  <c r="N33" i="3"/>
  <c r="J15" i="6" l="1"/>
  <c r="N34" i="2"/>
  <c r="U34" i="2"/>
  <c r="U34" i="4"/>
  <c r="N34" i="4"/>
  <c r="Q15" i="6" s="1"/>
  <c r="U34" i="3"/>
  <c r="N34" i="3"/>
  <c r="T15" i="6" l="1"/>
  <c r="S15" i="6"/>
  <c r="J15" i="9"/>
  <c r="N35" i="2"/>
  <c r="U35" i="2"/>
  <c r="C15" i="6"/>
  <c r="L15" i="6"/>
  <c r="M15" i="6"/>
  <c r="I15" i="9"/>
  <c r="N35" i="4"/>
  <c r="U35" i="4"/>
  <c r="U35" i="3"/>
  <c r="N35" i="3"/>
  <c r="N36" i="2" l="1"/>
  <c r="U36" i="2"/>
  <c r="F15" i="6"/>
  <c r="E15" i="6"/>
  <c r="H15" i="9"/>
  <c r="U36" i="4"/>
  <c r="N36" i="4"/>
  <c r="U36" i="3"/>
  <c r="N36" i="3"/>
  <c r="N37" i="2" l="1"/>
  <c r="C16" i="6" s="1"/>
  <c r="U37" i="2"/>
  <c r="N37" i="4"/>
  <c r="Q16" i="6" s="1"/>
  <c r="U37" i="4"/>
  <c r="U37" i="3"/>
  <c r="N37" i="3"/>
  <c r="J16" i="6" s="1"/>
  <c r="E16" i="6" l="1"/>
  <c r="F16" i="6"/>
  <c r="H16" i="9"/>
  <c r="M16" i="6"/>
  <c r="L16" i="6"/>
  <c r="I16" i="9"/>
  <c r="T16" i="6"/>
  <c r="S16" i="6"/>
  <c r="J16" i="9"/>
  <c r="N38" i="2"/>
  <c r="U38" i="2"/>
  <c r="U38" i="4"/>
  <c r="N38" i="4"/>
  <c r="U38" i="3"/>
  <c r="N38" i="3"/>
  <c r="N39" i="2" l="1"/>
  <c r="U39" i="2"/>
  <c r="N39" i="4"/>
  <c r="U39" i="4"/>
  <c r="U39" i="3"/>
  <c r="N39" i="3"/>
  <c r="N40" i="2" l="1"/>
  <c r="U40" i="2"/>
  <c r="U40" i="4"/>
  <c r="N40" i="4"/>
  <c r="Q17" i="6" s="1"/>
  <c r="U40" i="3"/>
  <c r="N40" i="3"/>
  <c r="J17" i="6" s="1"/>
  <c r="M17" i="6" l="1"/>
  <c r="L17" i="6"/>
  <c r="I17" i="9"/>
  <c r="S17" i="6"/>
  <c r="T17" i="6"/>
  <c r="J17" i="9"/>
  <c r="N41" i="2"/>
  <c r="U41" i="2"/>
  <c r="C17" i="6"/>
  <c r="N41" i="4"/>
  <c r="U41" i="4"/>
  <c r="U41" i="3"/>
  <c r="N41" i="3"/>
  <c r="N42" i="2" l="1"/>
  <c r="U42" i="2"/>
  <c r="E17" i="6"/>
  <c r="F17" i="6"/>
  <c r="H17" i="9"/>
  <c r="U42" i="4"/>
  <c r="N42" i="4"/>
  <c r="U42" i="3"/>
  <c r="N42" i="3"/>
  <c r="N43" i="2" l="1"/>
  <c r="U43" i="2"/>
  <c r="C18" i="6"/>
  <c r="U43" i="4"/>
  <c r="N43" i="4"/>
  <c r="Q18" i="6" s="1"/>
  <c r="N43" i="3"/>
  <c r="J18" i="6" s="1"/>
  <c r="U43" i="3"/>
  <c r="S18" i="6" l="1"/>
  <c r="T18" i="6"/>
  <c r="J18" i="9"/>
  <c r="N44" i="2"/>
  <c r="U44" i="2"/>
  <c r="F18" i="6"/>
  <c r="E18" i="6"/>
  <c r="H18" i="9"/>
  <c r="M18" i="6"/>
  <c r="L18" i="6"/>
  <c r="I18" i="9"/>
  <c r="N44" i="4"/>
  <c r="U44" i="4"/>
  <c r="U44" i="3"/>
  <c r="N44" i="3"/>
  <c r="N45" i="2" l="1"/>
  <c r="U45" i="2"/>
  <c r="N45" i="4"/>
  <c r="U45" i="4"/>
  <c r="U45" i="3"/>
  <c r="N45" i="3"/>
  <c r="J19" i="6" l="1"/>
  <c r="N46" i="2"/>
  <c r="U46" i="2"/>
  <c r="N46" i="4"/>
  <c r="Q19" i="6" s="1"/>
  <c r="U46" i="4"/>
  <c r="U46" i="3"/>
  <c r="N46" i="3"/>
  <c r="T19" i="6" l="1"/>
  <c r="J19" i="9"/>
  <c r="S19" i="6"/>
  <c r="L19" i="6"/>
  <c r="M19" i="6"/>
  <c r="I19" i="9"/>
  <c r="N47" i="2"/>
  <c r="U47" i="2"/>
  <c r="C19" i="6"/>
  <c r="U47" i="4"/>
  <c r="N47" i="4"/>
  <c r="N47" i="3"/>
  <c r="U47" i="3"/>
  <c r="F19" i="6" l="1"/>
  <c r="H19" i="9"/>
  <c r="E19" i="6"/>
  <c r="N48" i="2"/>
  <c r="U48" i="2"/>
  <c r="U48" i="4"/>
  <c r="N48" i="4"/>
  <c r="U48" i="3"/>
  <c r="N48" i="3"/>
  <c r="N49" i="2" l="1"/>
  <c r="U49" i="2"/>
  <c r="N49" i="4"/>
  <c r="Q20" i="6" s="1"/>
  <c r="U49" i="4"/>
  <c r="U49" i="3"/>
  <c r="N49" i="3"/>
  <c r="J20" i="6" s="1"/>
  <c r="L20" i="6" l="1"/>
  <c r="M20" i="6"/>
  <c r="I20" i="9"/>
  <c r="S20" i="6"/>
  <c r="J20" i="9"/>
  <c r="T20" i="6"/>
  <c r="N50" i="2"/>
  <c r="U50" i="2"/>
  <c r="C20" i="6"/>
  <c r="U50" i="4"/>
  <c r="N50" i="4"/>
  <c r="U50" i="3"/>
  <c r="N50" i="3"/>
  <c r="N51" i="2" l="1"/>
  <c r="U51" i="2"/>
  <c r="E20" i="6"/>
  <c r="F20" i="6"/>
  <c r="H20" i="9"/>
  <c r="N51" i="4"/>
  <c r="U51" i="4"/>
  <c r="N51" i="3"/>
  <c r="U51" i="3"/>
  <c r="Q21" i="6" l="1"/>
  <c r="N52" i="2"/>
  <c r="U52" i="2"/>
  <c r="N52" i="4"/>
  <c r="U52" i="4"/>
  <c r="U52" i="3"/>
  <c r="N52" i="3"/>
  <c r="J21" i="6" s="1"/>
  <c r="M21" i="6" l="1"/>
  <c r="L21" i="6"/>
  <c r="I21" i="9"/>
  <c r="T21" i="6"/>
  <c r="S21" i="6"/>
  <c r="J21" i="9"/>
  <c r="N53" i="2"/>
  <c r="U53" i="2"/>
  <c r="C21" i="6"/>
  <c r="U53" i="4"/>
  <c r="N53" i="4"/>
  <c r="U53" i="3"/>
  <c r="N53" i="3"/>
  <c r="N54" i="2" l="1"/>
  <c r="U54" i="2"/>
  <c r="E21" i="6"/>
  <c r="F21" i="6"/>
  <c r="H21" i="9"/>
  <c r="U54" i="4"/>
  <c r="N54" i="4"/>
  <c r="N54" i="3"/>
  <c r="U54" i="3"/>
  <c r="N55" i="2" l="1"/>
  <c r="U55" i="2"/>
  <c r="U55" i="4"/>
  <c r="N55" i="4"/>
  <c r="Q22" i="6" s="1"/>
  <c r="N55" i="3"/>
  <c r="J22" i="6" s="1"/>
  <c r="U55" i="3"/>
  <c r="S22" i="6" l="1"/>
  <c r="T22" i="6"/>
  <c r="J22" i="9"/>
  <c r="I22" i="9"/>
  <c r="L22" i="6"/>
  <c r="M22" i="6"/>
  <c r="N56" i="2"/>
  <c r="U56" i="2"/>
  <c r="C22" i="6"/>
  <c r="N56" i="4"/>
  <c r="U56" i="4"/>
  <c r="N56" i="3"/>
  <c r="U56" i="3"/>
  <c r="N57" i="2" l="1"/>
  <c r="U57" i="2"/>
  <c r="O22" i="9"/>
  <c r="O6" i="9"/>
  <c r="O7" i="9"/>
  <c r="O12" i="9"/>
  <c r="O5" i="9"/>
  <c r="O10" i="9"/>
  <c r="O8" i="9"/>
  <c r="O11" i="9"/>
  <c r="O9" i="9"/>
  <c r="O13" i="9"/>
  <c r="O14" i="9"/>
  <c r="O15" i="9"/>
  <c r="O16" i="9"/>
  <c r="O21" i="9"/>
  <c r="O18" i="9"/>
  <c r="O19" i="9"/>
  <c r="O20" i="9"/>
  <c r="O17" i="9"/>
  <c r="N23" i="7"/>
  <c r="N7" i="7"/>
  <c r="N10" i="7"/>
  <c r="N13" i="7"/>
  <c r="N9" i="7"/>
  <c r="N8" i="7"/>
  <c r="N12" i="7"/>
  <c r="N11" i="7"/>
  <c r="N14" i="7"/>
  <c r="N15" i="7"/>
  <c r="N16" i="7"/>
  <c r="N17" i="7"/>
  <c r="N18" i="7"/>
  <c r="N22" i="7"/>
  <c r="N20" i="7"/>
  <c r="N19" i="7"/>
  <c r="N21" i="7"/>
  <c r="O8" i="7"/>
  <c r="O23" i="7"/>
  <c r="O11" i="7"/>
  <c r="O12" i="7"/>
  <c r="O10" i="7"/>
  <c r="O7" i="7"/>
  <c r="O13" i="7"/>
  <c r="O9" i="7"/>
  <c r="O14" i="7"/>
  <c r="O15" i="7"/>
  <c r="O16" i="7"/>
  <c r="O17" i="7"/>
  <c r="O19" i="7"/>
  <c r="O22" i="7"/>
  <c r="O20" i="7"/>
  <c r="O21" i="7"/>
  <c r="O18" i="7"/>
  <c r="N22" i="9"/>
  <c r="N9" i="9"/>
  <c r="N7" i="9"/>
  <c r="N10" i="9"/>
  <c r="N11" i="9"/>
  <c r="N12" i="9"/>
  <c r="N6" i="9"/>
  <c r="N5" i="9"/>
  <c r="N8" i="9"/>
  <c r="N13" i="9"/>
  <c r="N14" i="9"/>
  <c r="N15" i="9"/>
  <c r="N16" i="9"/>
  <c r="N18" i="9"/>
  <c r="N19" i="9"/>
  <c r="N21" i="9"/>
  <c r="N17" i="9"/>
  <c r="N20" i="9"/>
  <c r="F22" i="6"/>
  <c r="H22" i="9"/>
  <c r="E22" i="6"/>
  <c r="U57" i="4"/>
  <c r="N57" i="4"/>
  <c r="U57" i="3"/>
  <c r="N57" i="3"/>
  <c r="M22" i="9" l="1"/>
  <c r="M12" i="9"/>
  <c r="M11" i="9"/>
  <c r="M10" i="9"/>
  <c r="M7" i="9"/>
  <c r="M9" i="9"/>
  <c r="M5" i="9"/>
  <c r="M6" i="9"/>
  <c r="M8" i="9"/>
  <c r="M13" i="9"/>
  <c r="M14" i="9"/>
  <c r="M15" i="9"/>
  <c r="M16" i="9"/>
  <c r="M17" i="9"/>
  <c r="M19" i="9"/>
  <c r="M21" i="9"/>
  <c r="M18" i="9"/>
  <c r="M20" i="9"/>
  <c r="M23" i="7"/>
  <c r="M7" i="7"/>
  <c r="M10" i="7"/>
  <c r="M11" i="7"/>
  <c r="M9" i="7"/>
  <c r="M12" i="7"/>
  <c r="M13" i="7"/>
  <c r="M8" i="7"/>
  <c r="M14" i="7"/>
  <c r="M15" i="7"/>
  <c r="M16" i="7"/>
  <c r="M17" i="7"/>
  <c r="M18" i="7"/>
  <c r="M21" i="7"/>
  <c r="M19" i="7"/>
  <c r="M22" i="7"/>
  <c r="M20" i="7"/>
  <c r="N58" i="2"/>
  <c r="C23" i="6" s="1"/>
  <c r="U58" i="2"/>
  <c r="U58" i="4"/>
  <c r="N58" i="4"/>
  <c r="Q23" i="6" s="1"/>
  <c r="N58" i="3"/>
  <c r="J23" i="6" s="1"/>
  <c r="U58" i="3"/>
  <c r="N59" i="2" l="1"/>
  <c r="U59" i="2"/>
  <c r="U59" i="4"/>
  <c r="N59" i="4"/>
  <c r="N59" i="3"/>
  <c r="U59" i="3"/>
  <c r="N60" i="2" l="1"/>
  <c r="U60" i="2"/>
  <c r="N60" i="4"/>
  <c r="U60" i="4"/>
  <c r="N60" i="3"/>
  <c r="U60" i="3"/>
  <c r="N61" i="2" l="1"/>
  <c r="U61" i="2"/>
  <c r="U61" i="4"/>
  <c r="N61" i="4"/>
  <c r="Q24" i="6" s="1"/>
  <c r="U61" i="3"/>
  <c r="N61" i="3"/>
  <c r="J24" i="6" s="1"/>
  <c r="N62" i="2" l="1"/>
  <c r="U62" i="2"/>
  <c r="C24" i="6"/>
  <c r="U62" i="4"/>
  <c r="N62" i="4"/>
  <c r="N62" i="3"/>
  <c r="U62" i="3"/>
  <c r="N63" i="2" l="1"/>
  <c r="U63" i="2"/>
  <c r="U63" i="4"/>
  <c r="N63" i="4"/>
  <c r="N63" i="3"/>
  <c r="U63" i="3"/>
  <c r="N64" i="2" l="1"/>
  <c r="U64" i="2"/>
  <c r="N64" i="4"/>
  <c r="Q25" i="6" s="1"/>
  <c r="U64" i="4"/>
  <c r="N64" i="3"/>
  <c r="J25" i="6" s="1"/>
  <c r="U64" i="3"/>
  <c r="N65" i="2" l="1"/>
  <c r="U65" i="2"/>
  <c r="C25" i="6"/>
  <c r="U65" i="4"/>
  <c r="N65" i="4"/>
  <c r="U65" i="3"/>
  <c r="N65" i="3"/>
  <c r="N66" i="2" l="1"/>
  <c r="U66" i="2"/>
  <c r="U66" i="4"/>
  <c r="N66" i="4"/>
  <c r="N66" i="3"/>
  <c r="U66" i="3"/>
  <c r="N67" i="2" l="1"/>
  <c r="U67" i="2"/>
  <c r="U67" i="4"/>
  <c r="N67" i="4"/>
  <c r="Q26" i="6" s="1"/>
  <c r="N67" i="3"/>
  <c r="J26" i="6" s="1"/>
  <c r="U67" i="3"/>
  <c r="N68" i="2" l="1"/>
  <c r="U68" i="2"/>
  <c r="C26" i="6"/>
  <c r="N68" i="4"/>
  <c r="U68" i="4"/>
  <c r="N68" i="3"/>
  <c r="U68" i="3"/>
  <c r="N69" i="2" l="1"/>
  <c r="U69" i="2"/>
  <c r="U69" i="4"/>
  <c r="N69" i="4"/>
  <c r="U69" i="3"/>
  <c r="N69" i="3"/>
  <c r="N70" i="2" l="1"/>
  <c r="U70" i="2"/>
  <c r="U70" i="4"/>
  <c r="N70" i="4"/>
  <c r="U71" i="4" s="1"/>
  <c r="N70" i="3"/>
  <c r="U70" i="3"/>
  <c r="U71" i="3" l="1"/>
  <c r="J27" i="6"/>
  <c r="U71" i="2"/>
  <c r="C27" i="6"/>
  <c r="Q27" i="6"/>
</calcChain>
</file>

<file path=xl/comments1.xml><?xml version="1.0" encoding="utf-8"?>
<comments xmlns="http://schemas.openxmlformats.org/spreadsheetml/2006/main">
  <authors>
    <author>Windows User</author>
    <author>uras</author>
  </authors>
  <commentList>
    <comment ref="O1" authorId="0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See scatter chart on right: Okun's coefficient in first-differences, 1949:1-2013:2</t>
        </r>
      </text>
    </comment>
    <comment ref="D3" authorId="1" shapeId="0">
      <text>
        <r>
          <rPr>
            <b/>
            <sz val="9"/>
            <color indexed="81"/>
            <rFont val="Tahoma"/>
            <charset val="1"/>
          </rPr>
          <t>uras:</t>
        </r>
        <r>
          <rPr>
            <sz val="9"/>
            <color indexed="81"/>
            <rFont val="Tahoma"/>
            <charset val="1"/>
          </rPr>
          <t xml:space="preserve">
source: 
"US budget cyclically adjusted - CBO.xlsx"</t>
        </r>
      </text>
    </comment>
  </commentList>
</comments>
</file>

<file path=xl/sharedStrings.xml><?xml version="1.0" encoding="utf-8"?>
<sst xmlns="http://schemas.openxmlformats.org/spreadsheetml/2006/main" count="223" uniqueCount="126">
  <si>
    <t>US UE rate</t>
  </si>
  <si>
    <t>rrshocks</t>
  </si>
  <si>
    <t>const</t>
  </si>
  <si>
    <t>Arlags</t>
  </si>
  <si>
    <t>Malags</t>
  </si>
  <si>
    <t>estimated coefficients for UE dynamics</t>
  </si>
  <si>
    <t xml:space="preserve">Data for estimating IRF's of UE </t>
  </si>
  <si>
    <t>to Romer and Romer (updated) shocks</t>
  </si>
  <si>
    <t>source: UE_irf_mp.m</t>
  </si>
  <si>
    <t>construct cumulative contribution of shocks</t>
  </si>
  <si>
    <t>time</t>
  </si>
  <si>
    <t>(fake)</t>
  </si>
  <si>
    <t>shocks</t>
  </si>
  <si>
    <t>cumulative</t>
  </si>
  <si>
    <t>effect</t>
  </si>
  <si>
    <t>irf matlab</t>
  </si>
  <si>
    <t>(as check)</t>
  </si>
  <si>
    <t>Average</t>
  </si>
  <si>
    <t>1990 rec.</t>
  </si>
  <si>
    <t>Cumul. MP shocks</t>
  </si>
  <si>
    <t>Months</t>
  </si>
  <si>
    <t>Difference</t>
  </si>
  <si>
    <t>effect on UE</t>
  </si>
  <si>
    <t>Actual UE</t>
  </si>
  <si>
    <t>months</t>
  </si>
  <si>
    <t>Counterfactual</t>
  </si>
  <si>
    <t>net of MP shocks</t>
  </si>
  <si>
    <t>2001 rec.</t>
  </si>
  <si>
    <t>1990Q3</t>
  </si>
  <si>
    <t>2001Q1</t>
  </si>
  <si>
    <t>2007Q4</t>
  </si>
  <si>
    <t>Cumulative change in Fiscal Balances (rel. to pot. GDP)</t>
  </si>
  <si>
    <t>Multiplier is:</t>
  </si>
  <si>
    <t>Contribution to Output Growth (rel. to pot. GDP and pre-90 recessions)</t>
  </si>
  <si>
    <t>Construct contribution of fiscal policies to UE outcomes</t>
  </si>
  <si>
    <t>Title:</t>
  </si>
  <si>
    <t>Real Gross Domestic Product</t>
  </si>
  <si>
    <t>Series ID:</t>
  </si>
  <si>
    <t>GDPC1</t>
  </si>
  <si>
    <t>Source:</t>
  </si>
  <si>
    <t>U.S. Department of Commerce: Bureau of Economic Analysis</t>
  </si>
  <si>
    <t>Release:</t>
  </si>
  <si>
    <t>Gross Domestic Product</t>
  </si>
  <si>
    <t>Seasonal Adjustment:</t>
  </si>
  <si>
    <t>Seasonally Adjusted Annual Rate</t>
  </si>
  <si>
    <t>Frequency:</t>
  </si>
  <si>
    <t>Quarterly</t>
  </si>
  <si>
    <t>Units:</t>
  </si>
  <si>
    <t>Change, Billions of Chained 2009 Dollars</t>
  </si>
  <si>
    <t>Date Range:</t>
  </si>
  <si>
    <t>1947-01-01 to 2013-04-01</t>
  </si>
  <si>
    <t>Last Updated:</t>
  </si>
  <si>
    <t>2013-07-31 8:58 AM CDT</t>
  </si>
  <si>
    <t>Notes:</t>
  </si>
  <si>
    <t>BEA Account Code: A191RX1</t>
  </si>
  <si>
    <t/>
  </si>
  <si>
    <t>Real gross domestic product is the inflation adjusted value of the</t>
  </si>
  <si>
    <t>goods and services produced by labor and property located in the</t>
  </si>
  <si>
    <t xml:space="preserve">United States. </t>
  </si>
  <si>
    <t xml:space="preserve"> </t>
  </si>
  <si>
    <t>For more information see the Guide to the National Income and Product</t>
  </si>
  <si>
    <t>Accounts of the United States (NIPA) -</t>
  </si>
  <si>
    <t>(http://www.bea.gov/national/pdf/nipaguid.pdf)</t>
  </si>
  <si>
    <t>DATE</t>
  </si>
  <si>
    <t>VALUE</t>
  </si>
  <si>
    <t>Real Potential Gross Domestic Product</t>
  </si>
  <si>
    <t>GDPPOT</t>
  </si>
  <si>
    <t>U.S. Congress: Congressional Budget Office</t>
  </si>
  <si>
    <t>Budget and Economic Outlook</t>
  </si>
  <si>
    <t>Not Seasonally Adjusted</t>
  </si>
  <si>
    <t>Billions of Chained 2005 Dollars</t>
  </si>
  <si>
    <t>1949-01-01 to 2023-10-01</t>
  </si>
  <si>
    <t>2013-02-05 3:16 PM CST</t>
  </si>
  <si>
    <t>would produce with a high rate of use of its capital and labor</t>
  </si>
  <si>
    <t>resources. The data is adjusted to remove the effects of inflation.</t>
  </si>
  <si>
    <t>Civilian Unemployment Rate</t>
  </si>
  <si>
    <t>UNRATE</t>
  </si>
  <si>
    <t>U.S. Department of Labor: Bureau of Labor Statistics</t>
  </si>
  <si>
    <t>Employment Situation</t>
  </si>
  <si>
    <t>Seasonally Adjusted</t>
  </si>
  <si>
    <t>Change, Percent</t>
  </si>
  <si>
    <t>1948-01-01 to 2013-07-01</t>
  </si>
  <si>
    <t>2013-08-02 8:06 AM CDT</t>
  </si>
  <si>
    <t>The unemployment rate represents the number of unemployed as a</t>
  </si>
  <si>
    <t>percentage of the labor force. Labor force data are restricted to</t>
  </si>
  <si>
    <t>people 16 years of age and older, who currently reside in 1 of the 50</t>
  </si>
  <si>
    <t>states or the District of Columbia, who do not reside in institutions</t>
  </si>
  <si>
    <t>(e.g., penal and mental facilities, homes for the aged), and who are</t>
  </si>
  <si>
    <t>not on active duty in the Armed Forces.</t>
  </si>
  <si>
    <t>This rate is also defined as the U-3 measure of labor</t>
  </si>
  <si>
    <t>underutilization.</t>
  </si>
  <si>
    <t>D(RGDP)</t>
  </si>
  <si>
    <t>Potential GDP</t>
  </si>
  <si>
    <t>D(UE)</t>
  </si>
  <si>
    <t>D(RGDP)/POT</t>
  </si>
  <si>
    <t>Okun coeff.:</t>
  </si>
  <si>
    <t>Contemporaneous Effect on UE</t>
  </si>
  <si>
    <t>Cumulative Effect on UE</t>
  </si>
  <si>
    <t>Counterfactual UE paths for each recession</t>
  </si>
  <si>
    <t>actual</t>
  </si>
  <si>
    <t>counterf.</t>
  </si>
  <si>
    <t>Percent</t>
  </si>
  <si>
    <t>1990-01-01 to 2013-07-01</t>
  </si>
  <si>
    <t>Dec. 2007</t>
  </si>
  <si>
    <t>qrts</t>
  </si>
  <si>
    <t>1990 recession</t>
  </si>
  <si>
    <t>actual UE</t>
  </si>
  <si>
    <t>MP policy</t>
  </si>
  <si>
    <t>Fiscal pol.</t>
  </si>
  <si>
    <t>count. UE</t>
  </si>
  <si>
    <t>2001 recession</t>
  </si>
  <si>
    <t>2007 recession</t>
  </si>
  <si>
    <t>Show combined effects of fiscal and monetary policies on UE in each recession.  Counterfactuals are equivalent to having pre-1990 monetary and fiscal policies.</t>
  </si>
  <si>
    <t>Show rising persistence in UE during recessions after controlling for monetary policy</t>
  </si>
  <si>
    <t>Pre-90</t>
  </si>
  <si>
    <t>Monthly</t>
  </si>
  <si>
    <t>avg. pre-90</t>
  </si>
  <si>
    <t>quarterly</t>
  </si>
  <si>
    <t>Counterfactual UE</t>
  </si>
  <si>
    <t>UE gaps for each recession</t>
  </si>
  <si>
    <t>pre-1990</t>
  </si>
  <si>
    <t>UE gaps with pre-90 policies</t>
  </si>
  <si>
    <t>Normal. UE gaps with pre-90 policies</t>
  </si>
  <si>
    <t>Normal. UE gaps without policy adj.</t>
  </si>
  <si>
    <t>combined</t>
  </si>
  <si>
    <t>Source:  unemployment gaps in recessions.xlsx.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</si>
</sst>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yyyy\-mm\-dd"/>
    <numFmt numFmtId="165" formatCode="0.0"/>
    <numFmt numFmtId="166" formatCode="0.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164" fontId="0" fillId="0" borderId="0" xfId="0" applyNumberFormat="1" applyFont="1" applyFill="1" applyBorder="1" applyAlignment="1" applyProtection="1"/>
    <xf numFmtId="165" fontId="0" fillId="0" borderId="0" xfId="0" applyNumberFormat="1" applyFont="1" applyFill="1" applyBorder="1" applyAlignment="1" applyProtection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2" borderId="0" xfId="0" applyFill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164" fontId="0" fillId="2" borderId="0" xfId="0" applyNumberFormat="1" applyFont="1" applyFill="1" applyBorder="1" applyAlignment="1" applyProtection="1"/>
    <xf numFmtId="165" fontId="0" fillId="2" borderId="0" xfId="0" applyNumberFormat="1" applyFont="1" applyFill="1" applyBorder="1" applyAlignment="1" applyProtection="1"/>
    <xf numFmtId="0" fontId="0" fillId="3" borderId="0" xfId="0" applyFill="1"/>
    <xf numFmtId="0" fontId="0" fillId="3" borderId="1" xfId="0" applyFill="1" applyBorder="1"/>
    <xf numFmtId="0" fontId="0" fillId="3" borderId="2" xfId="0" applyFill="1" applyBorder="1"/>
    <xf numFmtId="0" fontId="0" fillId="3" borderId="3" xfId="0" applyFill="1" applyBorder="1"/>
    <xf numFmtId="0" fontId="0" fillId="0" borderId="2" xfId="0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0" borderId="0" xfId="0" applyFill="1" applyBorder="1"/>
    <xf numFmtId="0" fontId="0" fillId="0" borderId="2" xfId="0" applyFill="1" applyBorder="1"/>
    <xf numFmtId="0" fontId="0" fillId="0" borderId="0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165" fontId="0" fillId="0" borderId="0" xfId="0" applyNumberFormat="1"/>
    <xf numFmtId="165" fontId="0" fillId="0" borderId="0" xfId="0" applyNumberFormat="1" applyAlignment="1">
      <alignment horizontal="center"/>
    </xf>
    <xf numFmtId="2" fontId="0" fillId="0" borderId="0" xfId="0" applyNumberFormat="1"/>
    <xf numFmtId="0" fontId="0" fillId="0" borderId="0" xfId="0" applyNumberFormat="1" applyFont="1" applyFill="1" applyBorder="1" applyAlignment="1" applyProtection="1">
      <alignment horizontal="left"/>
    </xf>
    <xf numFmtId="0" fontId="0" fillId="0" borderId="0" xfId="0" applyNumberFormat="1" applyFont="1" applyFill="1" applyBorder="1" applyAlignment="1" applyProtection="1">
      <alignment horizontal="right"/>
    </xf>
    <xf numFmtId="0" fontId="2" fillId="3" borderId="0" xfId="0" applyFont="1" applyFill="1"/>
    <xf numFmtId="2" fontId="0" fillId="3" borderId="0" xfId="0" applyNumberFormat="1" applyFill="1"/>
    <xf numFmtId="0" fontId="0" fillId="2" borderId="0" xfId="0" applyFill="1" applyAlignment="1">
      <alignment horizontal="left"/>
    </xf>
    <xf numFmtId="0" fontId="0" fillId="4" borderId="0" xfId="0" applyFill="1"/>
    <xf numFmtId="0" fontId="0" fillId="5" borderId="0" xfId="0" applyFill="1"/>
    <xf numFmtId="0" fontId="0" fillId="0" borderId="0" xfId="0" applyFill="1"/>
    <xf numFmtId="0" fontId="0" fillId="6" borderId="0" xfId="0" applyFill="1"/>
    <xf numFmtId="0" fontId="0" fillId="6" borderId="0" xfId="0" applyFill="1" applyBorder="1" applyAlignment="1">
      <alignment horizontal="center"/>
    </xf>
    <xf numFmtId="0" fontId="2" fillId="3" borderId="2" xfId="0" applyNumberFormat="1" applyFont="1" applyFill="1" applyBorder="1"/>
    <xf numFmtId="0" fontId="2" fillId="2" borderId="2" xfId="0" applyNumberFormat="1" applyFont="1" applyFill="1" applyBorder="1"/>
    <xf numFmtId="0" fontId="2" fillId="4" borderId="2" xfId="0" applyNumberFormat="1" applyFont="1" applyFill="1" applyBorder="1"/>
    <xf numFmtId="0" fontId="2" fillId="5" borderId="2" xfId="0" applyNumberFormat="1" applyFont="1" applyFill="1" applyBorder="1"/>
    <xf numFmtId="0" fontId="2" fillId="0" borderId="2" xfId="0" applyNumberFormat="1" applyFont="1" applyFill="1" applyBorder="1"/>
    <xf numFmtId="0" fontId="0" fillId="6" borderId="2" xfId="0" applyFill="1" applyBorder="1" applyAlignment="1">
      <alignment horizontal="center"/>
    </xf>
    <xf numFmtId="0" fontId="2" fillId="6" borderId="2" xfId="0" applyNumberFormat="1" applyFont="1" applyFill="1" applyBorder="1" applyAlignment="1">
      <alignment horizontal="center"/>
    </xf>
    <xf numFmtId="0" fontId="0" fillId="6" borderId="0" xfId="0" applyFill="1" applyAlignment="1">
      <alignment horizontal="center"/>
    </xf>
    <xf numFmtId="165" fontId="0" fillId="6" borderId="0" xfId="0" applyNumberFormat="1" applyFont="1" applyFill="1" applyBorder="1" applyAlignment="1" applyProtection="1">
      <alignment horizontal="center"/>
    </xf>
    <xf numFmtId="165" fontId="0" fillId="6" borderId="0" xfId="0" applyNumberFormat="1" applyFill="1" applyAlignment="1">
      <alignment horizontal="center"/>
    </xf>
    <xf numFmtId="2" fontId="0" fillId="0" borderId="0" xfId="0" applyNumberFormat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1" fillId="0" borderId="0" xfId="0" applyFont="1"/>
    <xf numFmtId="0" fontId="0" fillId="0" borderId="4" xfId="0" applyBorder="1"/>
    <xf numFmtId="0" fontId="5" fillId="0" borderId="0" xfId="0" applyFont="1" applyAlignment="1">
      <alignment horizontal="left"/>
    </xf>
    <xf numFmtId="166" fontId="0" fillId="3" borderId="0" xfId="0" applyNumberFormat="1" applyFill="1"/>
    <xf numFmtId="0" fontId="0" fillId="0" borderId="0" xfId="0" applyAlignment="1">
      <alignment horizontal="center"/>
    </xf>
    <xf numFmtId="17" fontId="0" fillId="6" borderId="2" xfId="0" applyNumberFormat="1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3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wrapText="1"/>
    </xf>
    <xf numFmtId="0" fontId="0" fillId="4" borderId="2" xfId="0" applyFill="1" applyBorder="1" applyAlignment="1">
      <alignment horizontal="center" wrapText="1"/>
    </xf>
    <xf numFmtId="0" fontId="0" fillId="5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actual</c:v>
          </c:tx>
          <c:marker>
            <c:symbol val="none"/>
          </c:marker>
          <c:val>
            <c:numRef>
              <c:f>'1990recession'!$T$5:$T$54</c:f>
              <c:numCache>
                <c:formatCode>0.0</c:formatCode>
                <c:ptCount val="50"/>
                <c:pt idx="0">
                  <c:v>5.2</c:v>
                </c:pt>
                <c:pt idx="1">
                  <c:v>5.5</c:v>
                </c:pt>
                <c:pt idx="2">
                  <c:v>5.7</c:v>
                </c:pt>
                <c:pt idx="3">
                  <c:v>5.9</c:v>
                </c:pt>
                <c:pt idx="4">
                  <c:v>5.9</c:v>
                </c:pt>
                <c:pt idx="5">
                  <c:v>6.2</c:v>
                </c:pt>
                <c:pt idx="6">
                  <c:v>6.3</c:v>
                </c:pt>
                <c:pt idx="7">
                  <c:v>6.4</c:v>
                </c:pt>
                <c:pt idx="8">
                  <c:v>6.6</c:v>
                </c:pt>
                <c:pt idx="9">
                  <c:v>6.8</c:v>
                </c:pt>
                <c:pt idx="10">
                  <c:v>6.7</c:v>
                </c:pt>
                <c:pt idx="11">
                  <c:v>6.9</c:v>
                </c:pt>
                <c:pt idx="12">
                  <c:v>6.9</c:v>
                </c:pt>
                <c:pt idx="13">
                  <c:v>6.8</c:v>
                </c:pt>
                <c:pt idx="14">
                  <c:v>6.9</c:v>
                </c:pt>
                <c:pt idx="15">
                  <c:v>6.9</c:v>
                </c:pt>
                <c:pt idx="16">
                  <c:v>7</c:v>
                </c:pt>
                <c:pt idx="17">
                  <c:v>7</c:v>
                </c:pt>
                <c:pt idx="18">
                  <c:v>7.3</c:v>
                </c:pt>
                <c:pt idx="19">
                  <c:v>7.3</c:v>
                </c:pt>
                <c:pt idx="20">
                  <c:v>7.4</c:v>
                </c:pt>
                <c:pt idx="21">
                  <c:v>7.4</c:v>
                </c:pt>
                <c:pt idx="22">
                  <c:v>7.4</c:v>
                </c:pt>
                <c:pt idx="23">
                  <c:v>7.6</c:v>
                </c:pt>
                <c:pt idx="24">
                  <c:v>7.8</c:v>
                </c:pt>
                <c:pt idx="25">
                  <c:v>7.7</c:v>
                </c:pt>
                <c:pt idx="26">
                  <c:v>7.6</c:v>
                </c:pt>
                <c:pt idx="27">
                  <c:v>7.6</c:v>
                </c:pt>
                <c:pt idx="28">
                  <c:v>7.3</c:v>
                </c:pt>
                <c:pt idx="29">
                  <c:v>7.4</c:v>
                </c:pt>
                <c:pt idx="30">
                  <c:v>7.4</c:v>
                </c:pt>
                <c:pt idx="31">
                  <c:v>7.3</c:v>
                </c:pt>
                <c:pt idx="32">
                  <c:v>7.1</c:v>
                </c:pt>
                <c:pt idx="33">
                  <c:v>7</c:v>
                </c:pt>
                <c:pt idx="34">
                  <c:v>7.1</c:v>
                </c:pt>
                <c:pt idx="35">
                  <c:v>7.1</c:v>
                </c:pt>
                <c:pt idx="36">
                  <c:v>7</c:v>
                </c:pt>
                <c:pt idx="37">
                  <c:v>6.9</c:v>
                </c:pt>
                <c:pt idx="38">
                  <c:v>6.8</c:v>
                </c:pt>
                <c:pt idx="39">
                  <c:v>6.7</c:v>
                </c:pt>
                <c:pt idx="40">
                  <c:v>6.8</c:v>
                </c:pt>
                <c:pt idx="41">
                  <c:v>6.6</c:v>
                </c:pt>
                <c:pt idx="42">
                  <c:v>6.5</c:v>
                </c:pt>
                <c:pt idx="43">
                  <c:v>6.6</c:v>
                </c:pt>
                <c:pt idx="44">
                  <c:v>6.6</c:v>
                </c:pt>
                <c:pt idx="45">
                  <c:v>6.5</c:v>
                </c:pt>
                <c:pt idx="46">
                  <c:v>6.4</c:v>
                </c:pt>
                <c:pt idx="47">
                  <c:v>6.1</c:v>
                </c:pt>
                <c:pt idx="48">
                  <c:v>6.1</c:v>
                </c:pt>
                <c:pt idx="49">
                  <c:v>6.1</c:v>
                </c:pt>
              </c:numCache>
            </c:numRef>
          </c:val>
          <c:smooth val="0"/>
        </c:ser>
        <c:ser>
          <c:idx val="1"/>
          <c:order val="1"/>
          <c:tx>
            <c:v>net of mp</c:v>
          </c:tx>
          <c:marker>
            <c:symbol val="none"/>
          </c:marker>
          <c:val>
            <c:numRef>
              <c:f>'1990recession'!$U$5:$U$54</c:f>
              <c:numCache>
                <c:formatCode>0.0</c:formatCode>
                <c:ptCount val="50"/>
                <c:pt idx="0">
                  <c:v>5.2</c:v>
                </c:pt>
                <c:pt idx="1">
                  <c:v>5.5</c:v>
                </c:pt>
                <c:pt idx="2">
                  <c:v>5.7035615923747418</c:v>
                </c:pt>
                <c:pt idx="3">
                  <c:v>5.9125309606142524</c:v>
                </c:pt>
                <c:pt idx="4">
                  <c:v>5.8987748556077024</c:v>
                </c:pt>
                <c:pt idx="5">
                  <c:v>6.2506888658107318</c:v>
                </c:pt>
                <c:pt idx="6">
                  <c:v>6.3387297696832681</c:v>
                </c:pt>
                <c:pt idx="7">
                  <c:v>6.4207482209547573</c:v>
                </c:pt>
                <c:pt idx="8">
                  <c:v>6.6411104916857884</c:v>
                </c:pt>
                <c:pt idx="9">
                  <c:v>6.7740245205061873</c:v>
                </c:pt>
                <c:pt idx="10">
                  <c:v>6.666089472923769</c:v>
                </c:pt>
                <c:pt idx="11">
                  <c:v>6.8127986231561826</c:v>
                </c:pt>
                <c:pt idx="12">
                  <c:v>6.8090347986565316</c:v>
                </c:pt>
                <c:pt idx="13">
                  <c:v>6.7611795112144959</c:v>
                </c:pt>
                <c:pt idx="14">
                  <c:v>6.8046333866046451</c:v>
                </c:pt>
                <c:pt idx="15">
                  <c:v>6.83520125798319</c:v>
                </c:pt>
                <c:pt idx="16">
                  <c:v>6.8930329397114622</c:v>
                </c:pt>
                <c:pt idx="17">
                  <c:v>6.9348019731267678</c:v>
                </c:pt>
                <c:pt idx="18">
                  <c:v>7.2517084415070494</c:v>
                </c:pt>
                <c:pt idx="19">
                  <c:v>7.2139939540376057</c:v>
                </c:pt>
                <c:pt idx="20">
                  <c:v>7.3104606220551043</c:v>
                </c:pt>
                <c:pt idx="21">
                  <c:v>7.3075602719530552</c:v>
                </c:pt>
                <c:pt idx="22">
                  <c:v>7.2776329910448725</c:v>
                </c:pt>
                <c:pt idx="23">
                  <c:v>7.4743731890756768</c:v>
                </c:pt>
                <c:pt idx="24">
                  <c:v>7.6288182249452898</c:v>
                </c:pt>
                <c:pt idx="25">
                  <c:v>7.5035958252658839</c:v>
                </c:pt>
                <c:pt idx="26">
                  <c:v>7.3651653203275274</c:v>
                </c:pt>
                <c:pt idx="27">
                  <c:v>7.3292308881613613</c:v>
                </c:pt>
                <c:pt idx="28">
                  <c:v>7.0462460507554381</c:v>
                </c:pt>
                <c:pt idx="29">
                  <c:v>7.0839661293271003</c:v>
                </c:pt>
                <c:pt idx="30">
                  <c:v>7.067505588226652</c:v>
                </c:pt>
                <c:pt idx="31">
                  <c:v>6.9242743241703737</c:v>
                </c:pt>
                <c:pt idx="32">
                  <c:v>6.6334141827096547</c:v>
                </c:pt>
                <c:pt idx="33">
                  <c:v>6.5570984319847172</c:v>
                </c:pt>
                <c:pt idx="34">
                  <c:v>6.6458054858486459</c:v>
                </c:pt>
                <c:pt idx="35">
                  <c:v>6.6661974488999505</c:v>
                </c:pt>
                <c:pt idx="36">
                  <c:v>6.5490057938667752</c:v>
                </c:pt>
                <c:pt idx="37">
                  <c:v>6.4080767818609132</c:v>
                </c:pt>
                <c:pt idx="38">
                  <c:v>6.2647302949217112</c:v>
                </c:pt>
                <c:pt idx="39">
                  <c:v>6.2204818236713706</c:v>
                </c:pt>
                <c:pt idx="40">
                  <c:v>6.3169191513998904</c:v>
                </c:pt>
                <c:pt idx="41">
                  <c:v>6.122423354762959</c:v>
                </c:pt>
                <c:pt idx="42">
                  <c:v>5.9966480189702835</c:v>
                </c:pt>
                <c:pt idx="43">
                  <c:v>5.987919310140061</c:v>
                </c:pt>
                <c:pt idx="44">
                  <c:v>6.0048293548030562</c:v>
                </c:pt>
                <c:pt idx="45">
                  <c:v>5.8594865161807759</c:v>
                </c:pt>
                <c:pt idx="46">
                  <c:v>5.7323600405815034</c:v>
                </c:pt>
                <c:pt idx="47">
                  <c:v>5.3552581653705769</c:v>
                </c:pt>
                <c:pt idx="48">
                  <c:v>5.4034725812882414</c:v>
                </c:pt>
                <c:pt idx="49">
                  <c:v>5.3422711714862059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3180320"/>
        <c:axId val="443180880"/>
      </c:lineChart>
      <c:catAx>
        <c:axId val="443180320"/>
        <c:scaling>
          <c:orientation val="minMax"/>
        </c:scaling>
        <c:delete val="0"/>
        <c:axPos val="b"/>
        <c:majorTickMark val="out"/>
        <c:minorTickMark val="none"/>
        <c:tickLblPos val="nextTo"/>
        <c:crossAx val="443180880"/>
        <c:crosses val="autoZero"/>
        <c:auto val="1"/>
        <c:lblAlgn val="ctr"/>
        <c:lblOffset val="100"/>
        <c:noMultiLvlLbl val="0"/>
      </c:catAx>
      <c:valAx>
        <c:axId val="443180880"/>
        <c:scaling>
          <c:orientation val="minMax"/>
          <c:min val="5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4431803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Actual</c:v>
          </c:tx>
          <c:marker>
            <c:symbol val="none"/>
          </c:marker>
          <c:cat>
            <c:numRef>
              <c:f>combined!$A$5:$A$22</c:f>
              <c:numCache>
                <c:formatCode>General</c:formatCode>
                <c:ptCount val="18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</c:numCache>
            </c:numRef>
          </c:cat>
          <c:val>
            <c:numRef>
              <c:f>combined!$P$5:$P$22</c:f>
              <c:numCache>
                <c:formatCode>General</c:formatCode>
                <c:ptCount val="18"/>
                <c:pt idx="0">
                  <c:v>4.7</c:v>
                </c:pt>
                <c:pt idx="1">
                  <c:v>4.8</c:v>
                </c:pt>
                <c:pt idx="2">
                  <c:v>5</c:v>
                </c:pt>
                <c:pt idx="3">
                  <c:v>5.3</c:v>
                </c:pt>
                <c:pt idx="4">
                  <c:v>6</c:v>
                </c:pt>
                <c:pt idx="5">
                  <c:v>6.9</c:v>
                </c:pt>
                <c:pt idx="6">
                  <c:v>8.3000000000000007</c:v>
                </c:pt>
                <c:pt idx="7">
                  <c:v>9.3000000000000007</c:v>
                </c:pt>
                <c:pt idx="8">
                  <c:v>9.6</c:v>
                </c:pt>
                <c:pt idx="9">
                  <c:v>9.9</c:v>
                </c:pt>
                <c:pt idx="10">
                  <c:v>9.8000000000000007</c:v>
                </c:pt>
                <c:pt idx="11">
                  <c:v>9.6</c:v>
                </c:pt>
                <c:pt idx="12">
                  <c:v>9.5</c:v>
                </c:pt>
                <c:pt idx="13">
                  <c:v>9.5</c:v>
                </c:pt>
                <c:pt idx="14">
                  <c:v>9</c:v>
                </c:pt>
                <c:pt idx="15">
                  <c:v>9</c:v>
                </c:pt>
                <c:pt idx="16">
                  <c:v>9</c:v>
                </c:pt>
                <c:pt idx="17">
                  <c:v>8.6999999999999993</c:v>
                </c:pt>
              </c:numCache>
            </c:numRef>
          </c:val>
          <c:smooth val="0"/>
        </c:ser>
        <c:ser>
          <c:idx val="1"/>
          <c:order val="1"/>
          <c:tx>
            <c:v>Counterfactual</c:v>
          </c:tx>
          <c:marker>
            <c:symbol val="none"/>
          </c:marker>
          <c:cat>
            <c:numRef>
              <c:f>combined!$A$5:$A$22</c:f>
              <c:numCache>
                <c:formatCode>General</c:formatCode>
                <c:ptCount val="18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</c:numCache>
            </c:numRef>
          </c:cat>
          <c:val>
            <c:numRef>
              <c:f>combined!$T$5:$T$22</c:f>
              <c:numCache>
                <c:formatCode>0.00</c:formatCode>
                <c:ptCount val="18"/>
                <c:pt idx="0">
                  <c:v>4.7</c:v>
                </c:pt>
                <c:pt idx="1">
                  <c:v>4.764001851611618</c:v>
                </c:pt>
                <c:pt idx="2">
                  <c:v>5.1245831880639603</c:v>
                </c:pt>
                <c:pt idx="3">
                  <c:v>6.2810104877461619</c:v>
                </c:pt>
                <c:pt idx="4">
                  <c:v>6.5290663661735202</c:v>
                </c:pt>
                <c:pt idx="5">
                  <c:v>7.161005987286865</c:v>
                </c:pt>
                <c:pt idx="6">
                  <c:v>9.224902274464478</c:v>
                </c:pt>
                <c:pt idx="7">
                  <c:v>10.465649373273681</c:v>
                </c:pt>
                <c:pt idx="8">
                  <c:v>10.850826183826333</c:v>
                </c:pt>
                <c:pt idx="9">
                  <c:v>10.789929816319164</c:v>
                </c:pt>
                <c:pt idx="10">
                  <c:v>10.868020559912784</c:v>
                </c:pt>
                <c:pt idx="11">
                  <c:v>10.445117501915647</c:v>
                </c:pt>
                <c:pt idx="12">
                  <c:v>10.171873202518254</c:v>
                </c:pt>
                <c:pt idx="13">
                  <c:v>9.6272507429657708</c:v>
                </c:pt>
                <c:pt idx="14">
                  <c:v>8.6469310357774063</c:v>
                </c:pt>
                <c:pt idx="15">
                  <c:v>8.5325468997768539</c:v>
                </c:pt>
                <c:pt idx="16">
                  <c:v>7.9599673200887562</c:v>
                </c:pt>
                <c:pt idx="17">
                  <c:v>7.5834553875053947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4489984"/>
        <c:axId val="444490544"/>
      </c:lineChart>
      <c:catAx>
        <c:axId val="444489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44490544"/>
        <c:crosses val="autoZero"/>
        <c:auto val="1"/>
        <c:lblAlgn val="ctr"/>
        <c:lblOffset val="100"/>
        <c:noMultiLvlLbl val="0"/>
      </c:catAx>
      <c:valAx>
        <c:axId val="444490544"/>
        <c:scaling>
          <c:orientation val="minMax"/>
          <c:min val="3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444899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832974268047002"/>
          <c:y val="5.1400554097404488E-2"/>
          <c:w val="0.82704467026367467"/>
          <c:h val="0.80966652852603949"/>
        </c:manualLayout>
      </c:layout>
      <c:barChart>
        <c:barDir val="col"/>
        <c:grouping val="stacked"/>
        <c:varyColors val="0"/>
        <c:ser>
          <c:idx val="0"/>
          <c:order val="0"/>
          <c:tx>
            <c:v>Monetary </c:v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val>
            <c:numRef>
              <c:f>combined!$C$6:$C$22</c:f>
              <c:numCache>
                <c:formatCode>0.00</c:formatCode>
                <c:ptCount val="17"/>
                <c:pt idx="0">
                  <c:v>-5.3641843296647366E-3</c:v>
                </c:pt>
                <c:pt idx="1">
                  <c:v>-2.9397830367234219E-2</c:v>
                </c:pt>
                <c:pt idx="2">
                  <c:v>-1.196107771557757E-2</c:v>
                </c:pt>
                <c:pt idx="3">
                  <c:v>7.0692368421172921E-2</c:v>
                </c:pt>
                <c:pt idx="4">
                  <c:v>6.6328614732556454E-2</c:v>
                </c:pt>
                <c:pt idx="5">
                  <c:v>7.3485548551573382E-2</c:v>
                </c:pt>
                <c:pt idx="6">
                  <c:v>8.9328383984745033E-2</c:v>
                </c:pt>
                <c:pt idx="7">
                  <c:v>0.13972519831138705</c:v>
                </c:pt>
                <c:pt idx="8">
                  <c:v>0.23400265541507567</c:v>
                </c:pt>
                <c:pt idx="9">
                  <c:v>0.30076074389693647</c:v>
                </c:pt>
                <c:pt idx="10">
                  <c:v>0.42840435371175123</c:v>
                </c:pt>
                <c:pt idx="11">
                  <c:v>0.4463304237948757</c:v>
                </c:pt>
                <c:pt idx="12">
                  <c:v>0.50223703318200164</c:v>
                </c:pt>
                <c:pt idx="13">
                  <c:v>0.48800315828895563</c:v>
                </c:pt>
                <c:pt idx="14">
                  <c:v>0.61592160629203507</c:v>
                </c:pt>
                <c:pt idx="15">
                  <c:v>0.70296973758655934</c:v>
                </c:pt>
                <c:pt idx="16">
                  <c:v>0.75253779975854496</c:v>
                </c:pt>
              </c:numCache>
            </c:numRef>
          </c:val>
        </c:ser>
        <c:ser>
          <c:idx val="1"/>
          <c:order val="1"/>
          <c:tx>
            <c:v>Fiscal</c:v>
          </c:tx>
          <c:spPr>
            <a:solidFill>
              <a:schemeClr val="accent1"/>
            </a:solidFill>
          </c:spPr>
          <c:invertIfNegative val="0"/>
          <c:val>
            <c:numRef>
              <c:f>combined!$D$6:$D$22</c:f>
              <c:numCache>
                <c:formatCode>0.00</c:formatCode>
                <c:ptCount val="17"/>
                <c:pt idx="0">
                  <c:v>0.19276667990348076</c:v>
                </c:pt>
                <c:pt idx="1">
                  <c:v>0.31337617788421013</c:v>
                </c:pt>
                <c:pt idx="2">
                  <c:v>0.73360276114011169</c:v>
                </c:pt>
                <c:pt idx="3">
                  <c:v>0.34038862873860387</c:v>
                </c:pt>
                <c:pt idx="4">
                  <c:v>0.32403154476629592</c:v>
                </c:pt>
                <c:pt idx="5">
                  <c:v>0.3780591727494228</c:v>
                </c:pt>
                <c:pt idx="6">
                  <c:v>0.50762576794259562</c:v>
                </c:pt>
                <c:pt idx="7">
                  <c:v>0.27822032609173492</c:v>
                </c:pt>
                <c:pt idx="8">
                  <c:v>0.29216146624983308</c:v>
                </c:pt>
                <c:pt idx="9">
                  <c:v>0.23328948292489562</c:v>
                </c:pt>
                <c:pt idx="10">
                  <c:v>0.26455059860193281</c:v>
                </c:pt>
                <c:pt idx="11">
                  <c:v>0.45154986381657136</c:v>
                </c:pt>
                <c:pt idx="12">
                  <c:v>0.57405986765275818</c:v>
                </c:pt>
                <c:pt idx="13">
                  <c:v>0.65689451413461697</c:v>
                </c:pt>
                <c:pt idx="14">
                  <c:v>0.63987859051688811</c:v>
                </c:pt>
                <c:pt idx="15">
                  <c:v>0.92025993187788724</c:v>
                </c:pt>
                <c:pt idx="16">
                  <c:v>0.86172153971356946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"/>
        <c:overlap val="100"/>
        <c:axId val="444494464"/>
        <c:axId val="444495024"/>
      </c:barChart>
      <c:lineChart>
        <c:grouping val="standard"/>
        <c:varyColors val="0"/>
        <c:ser>
          <c:idx val="2"/>
          <c:order val="2"/>
          <c:tx>
            <c:v>Total Policy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combined!$A$6:$A$22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</c:numCache>
            </c:numRef>
          </c:cat>
          <c:val>
            <c:numRef>
              <c:f>combined!$E$6:$E$22</c:f>
              <c:numCache>
                <c:formatCode>0.00</c:formatCode>
                <c:ptCount val="17"/>
                <c:pt idx="0">
                  <c:v>0.18740249557381602</c:v>
                </c:pt>
                <c:pt idx="1">
                  <c:v>0.28397834751697593</c:v>
                </c:pt>
                <c:pt idx="2">
                  <c:v>0.72164168342453416</c:v>
                </c:pt>
                <c:pt idx="3">
                  <c:v>0.41108099715977681</c:v>
                </c:pt>
                <c:pt idx="4">
                  <c:v>0.39036015949885239</c:v>
                </c:pt>
                <c:pt idx="5">
                  <c:v>0.45154472130099621</c:v>
                </c:pt>
                <c:pt idx="6">
                  <c:v>0.59695415192734069</c:v>
                </c:pt>
                <c:pt idx="7">
                  <c:v>0.41794552440312194</c:v>
                </c:pt>
                <c:pt idx="8">
                  <c:v>0.52616412166490878</c:v>
                </c:pt>
                <c:pt idx="9">
                  <c:v>0.53405022682183212</c:v>
                </c:pt>
                <c:pt idx="10">
                  <c:v>0.69295495231368398</c:v>
                </c:pt>
                <c:pt idx="11">
                  <c:v>0.89788028761144711</c:v>
                </c:pt>
                <c:pt idx="12">
                  <c:v>1.0762969008347598</c:v>
                </c:pt>
                <c:pt idx="13">
                  <c:v>1.1448976724235727</c:v>
                </c:pt>
                <c:pt idx="14">
                  <c:v>1.2558001968089232</c:v>
                </c:pt>
                <c:pt idx="15">
                  <c:v>1.6232296694644466</c:v>
                </c:pt>
                <c:pt idx="16">
                  <c:v>1.6142593394721145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combined!$U$6:$U$14</c:f>
              <c:strCach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combined!$U$6:$U$22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4494464"/>
        <c:axId val="444495024"/>
      </c:lineChart>
      <c:catAx>
        <c:axId val="444494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Quarters into</a:t>
                </a:r>
                <a:r>
                  <a:rPr lang="en-US" baseline="0"/>
                  <a:t> 1990 recession</a:t>
                </a:r>
                <a:endParaRPr lang="en-US"/>
              </a:p>
            </c:rich>
          </c:tx>
          <c:overlay val="0"/>
        </c:title>
        <c:majorTickMark val="out"/>
        <c:minorTickMark val="none"/>
        <c:tickLblPos val="nextTo"/>
        <c:crossAx val="444495024"/>
        <c:crossesAt val="-1.5"/>
        <c:auto val="1"/>
        <c:lblAlgn val="ctr"/>
        <c:lblOffset val="100"/>
        <c:noMultiLvlLbl val="0"/>
      </c:catAx>
      <c:valAx>
        <c:axId val="444495024"/>
        <c:scaling>
          <c:orientation val="minMax"/>
          <c:max val="2"/>
          <c:min val="-0.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Contribution of policies to UE 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444494464"/>
        <c:crosses val="autoZero"/>
        <c:crossBetween val="between"/>
      </c:valAx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0.14593000874890641"/>
          <c:y val="6.8868474773986582E-2"/>
          <c:w val="0.24739407574053243"/>
          <c:h val="0.2537952755905512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832974268047002"/>
          <c:y val="5.1400554097404488E-2"/>
          <c:w val="0.82704467026367467"/>
          <c:h val="0.80966652852603949"/>
        </c:manualLayout>
      </c:layout>
      <c:barChart>
        <c:barDir val="col"/>
        <c:grouping val="stacked"/>
        <c:varyColors val="0"/>
        <c:ser>
          <c:idx val="0"/>
          <c:order val="0"/>
          <c:tx>
            <c:v>Monetary </c:v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val>
            <c:numRef>
              <c:f>combined!$J$6:$J$22</c:f>
              <c:numCache>
                <c:formatCode>0.00</c:formatCode>
                <c:ptCount val="17"/>
                <c:pt idx="0">
                  <c:v>-2.8651931355084398E-4</c:v>
                </c:pt>
                <c:pt idx="1">
                  <c:v>-2.1023846203652313E-2</c:v>
                </c:pt>
                <c:pt idx="2">
                  <c:v>-3.2585265797676906E-2</c:v>
                </c:pt>
                <c:pt idx="3">
                  <c:v>5.8483806857372755E-2</c:v>
                </c:pt>
                <c:pt idx="4">
                  <c:v>5.2145059627332589E-2</c:v>
                </c:pt>
                <c:pt idx="5">
                  <c:v>5.0838525389403116E-2</c:v>
                </c:pt>
                <c:pt idx="6">
                  <c:v>3.6738524313931965E-2</c:v>
                </c:pt>
                <c:pt idx="7">
                  <c:v>7.1353111712331996E-2</c:v>
                </c:pt>
                <c:pt idx="8">
                  <c:v>0.13870725730075373</c:v>
                </c:pt>
                <c:pt idx="9">
                  <c:v>0.18372261672358178</c:v>
                </c:pt>
                <c:pt idx="10">
                  <c:v>0.29811516335187688</c:v>
                </c:pt>
                <c:pt idx="11">
                  <c:v>0.30816198855042937</c:v>
                </c:pt>
                <c:pt idx="12">
                  <c:v>0.37457113106013012</c:v>
                </c:pt>
                <c:pt idx="13">
                  <c:v>0.35129961635569867</c:v>
                </c:pt>
                <c:pt idx="14">
                  <c:v>0.45210850917760981</c:v>
                </c:pt>
                <c:pt idx="15">
                  <c:v>0.56489290468212872</c:v>
                </c:pt>
                <c:pt idx="16">
                  <c:v>0.60427991993180008</c:v>
                </c:pt>
              </c:numCache>
            </c:numRef>
          </c:val>
        </c:ser>
        <c:ser>
          <c:idx val="1"/>
          <c:order val="1"/>
          <c:tx>
            <c:v>Fiscal</c:v>
          </c:tx>
          <c:spPr>
            <a:solidFill>
              <a:schemeClr val="accent1"/>
            </a:solidFill>
          </c:spPr>
          <c:invertIfNegative val="0"/>
          <c:val>
            <c:numRef>
              <c:f>combined!$K$6:$K$22</c:f>
              <c:numCache>
                <c:formatCode>0.00</c:formatCode>
                <c:ptCount val="17"/>
                <c:pt idx="0">
                  <c:v>9.7765198107912343E-2</c:v>
                </c:pt>
                <c:pt idx="1">
                  <c:v>4.1027108453672856E-4</c:v>
                </c:pt>
                <c:pt idx="2">
                  <c:v>-0.54904260472011146</c:v>
                </c:pt>
                <c:pt idx="3">
                  <c:v>-0.18319861966626555</c:v>
                </c:pt>
                <c:pt idx="4">
                  <c:v>-0.79808143157184519</c:v>
                </c:pt>
                <c:pt idx="5">
                  <c:v>-0.82052852624807704</c:v>
                </c:pt>
                <c:pt idx="6">
                  <c:v>-0.46142922945351356</c:v>
                </c:pt>
                <c:pt idx="7">
                  <c:v>-0.64657893775858999</c:v>
                </c:pt>
                <c:pt idx="8">
                  <c:v>-0.50964377598837729</c:v>
                </c:pt>
                <c:pt idx="9">
                  <c:v>-0.83911869661961602</c:v>
                </c:pt>
                <c:pt idx="10">
                  <c:v>-1.1284276884182907</c:v>
                </c:pt>
                <c:pt idx="11">
                  <c:v>-0.97553339938900629</c:v>
                </c:pt>
                <c:pt idx="12">
                  <c:v>-0.93523583299972612</c:v>
                </c:pt>
                <c:pt idx="13">
                  <c:v>-0.9148315057688774</c:v>
                </c:pt>
                <c:pt idx="14">
                  <c:v>-0.9343460707207053</c:v>
                </c:pt>
                <c:pt idx="15">
                  <c:v>-0.77515217186017737</c:v>
                </c:pt>
                <c:pt idx="16">
                  <c:v>-0.5564605688920653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"/>
        <c:overlap val="100"/>
        <c:axId val="444499504"/>
        <c:axId val="444500064"/>
      </c:barChart>
      <c:lineChart>
        <c:grouping val="standard"/>
        <c:varyColors val="0"/>
        <c:ser>
          <c:idx val="2"/>
          <c:order val="2"/>
          <c:tx>
            <c:v>Total Policy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combined!$A$6:$A$22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</c:numCache>
            </c:numRef>
          </c:cat>
          <c:val>
            <c:numRef>
              <c:f>combined!$L$6:$L$22</c:f>
              <c:numCache>
                <c:formatCode>0.00</c:formatCode>
                <c:ptCount val="17"/>
                <c:pt idx="0">
                  <c:v>9.7478678794361506E-2</c:v>
                </c:pt>
                <c:pt idx="1">
                  <c:v>-2.0613575119115584E-2</c:v>
                </c:pt>
                <c:pt idx="2">
                  <c:v>-0.58162787051778841</c:v>
                </c:pt>
                <c:pt idx="3">
                  <c:v>-0.12471481280889279</c:v>
                </c:pt>
                <c:pt idx="4">
                  <c:v>-0.74593637194451257</c:v>
                </c:pt>
                <c:pt idx="5">
                  <c:v>-0.7696900008586739</c:v>
                </c:pt>
                <c:pt idx="6">
                  <c:v>-0.42469070513958157</c:v>
                </c:pt>
                <c:pt idx="7">
                  <c:v>-0.57522582604625794</c:v>
                </c:pt>
                <c:pt idx="8">
                  <c:v>-0.37093651868762356</c:v>
                </c:pt>
                <c:pt idx="9">
                  <c:v>-0.65539607989603421</c:v>
                </c:pt>
                <c:pt idx="10">
                  <c:v>-0.83031252506641384</c:v>
                </c:pt>
                <c:pt idx="11">
                  <c:v>-0.66737141083857687</c:v>
                </c:pt>
                <c:pt idx="12">
                  <c:v>-0.56066470193959606</c:v>
                </c:pt>
                <c:pt idx="13">
                  <c:v>-0.56353188941317867</c:v>
                </c:pt>
                <c:pt idx="14">
                  <c:v>-0.48223756154309549</c:v>
                </c:pt>
                <c:pt idx="15">
                  <c:v>-0.21025926717804866</c:v>
                </c:pt>
                <c:pt idx="16">
                  <c:v>4.7819351039734781E-2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combined!$U$6:$U$14</c:f>
              <c:strCach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combined!$U$6:$U$22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4499504"/>
        <c:axId val="444500064"/>
      </c:lineChart>
      <c:catAx>
        <c:axId val="444499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Quarters into</a:t>
                </a:r>
                <a:r>
                  <a:rPr lang="en-US" baseline="0"/>
                  <a:t> 2001 recession</a:t>
                </a:r>
                <a:endParaRPr lang="en-US"/>
              </a:p>
            </c:rich>
          </c:tx>
          <c:overlay val="0"/>
        </c:title>
        <c:majorTickMark val="out"/>
        <c:minorTickMark val="none"/>
        <c:tickLblPos val="nextTo"/>
        <c:crossAx val="444500064"/>
        <c:crossesAt val="-1.5"/>
        <c:auto val="1"/>
        <c:lblAlgn val="ctr"/>
        <c:lblOffset val="100"/>
        <c:noMultiLvlLbl val="0"/>
      </c:catAx>
      <c:valAx>
        <c:axId val="444500064"/>
        <c:scaling>
          <c:orientation val="minMax"/>
          <c:max val="2"/>
          <c:min val="-1.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Contribution of policies to UE 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444499504"/>
        <c:crosses val="autoZero"/>
        <c:crossBetween val="between"/>
      </c:valAx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0.14593000874890641"/>
          <c:y val="6.8868474773986582E-2"/>
          <c:w val="0.24739407574053243"/>
          <c:h val="0.2537952755905512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832974268047002"/>
          <c:y val="5.1400554097404488E-2"/>
          <c:w val="0.82704467026367467"/>
          <c:h val="0.80966652852603949"/>
        </c:manualLayout>
      </c:layout>
      <c:barChart>
        <c:barDir val="col"/>
        <c:grouping val="stacked"/>
        <c:varyColors val="0"/>
        <c:ser>
          <c:idx val="0"/>
          <c:order val="0"/>
          <c:tx>
            <c:v>Monetary </c:v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val>
            <c:numRef>
              <c:f>combined!$Q$6:$Q$22</c:f>
              <c:numCache>
                <c:formatCode>0.00</c:formatCode>
                <c:ptCount val="17"/>
                <c:pt idx="0">
                  <c:v>4.553392623918376E-3</c:v>
                </c:pt>
                <c:pt idx="1">
                  <c:v>1.5365118331634045E-2</c:v>
                </c:pt>
                <c:pt idx="2">
                  <c:v>1.8045311246995266E-3</c:v>
                </c:pt>
                <c:pt idx="3">
                  <c:v>1.1165477036368845E-2</c:v>
                </c:pt>
                <c:pt idx="4">
                  <c:v>-6.2843867488062491E-2</c:v>
                </c:pt>
                <c:pt idx="5">
                  <c:v>-0.16564252743651417</c:v>
                </c:pt>
                <c:pt idx="6">
                  <c:v>-0.15530070287657416</c:v>
                </c:pt>
                <c:pt idx="7">
                  <c:v>-0.1287378889770627</c:v>
                </c:pt>
                <c:pt idx="8">
                  <c:v>-1.8714248368688971E-2</c:v>
                </c:pt>
                <c:pt idx="9">
                  <c:v>6.5624354667652048E-3</c:v>
                </c:pt>
                <c:pt idx="10">
                  <c:v>0.18334863591711592</c:v>
                </c:pt>
                <c:pt idx="11">
                  <c:v>0.37005518149375588</c:v>
                </c:pt>
                <c:pt idx="12">
                  <c:v>0.74135164455957925</c:v>
                </c:pt>
                <c:pt idx="13">
                  <c:v>1.0785711145216796</c:v>
                </c:pt>
                <c:pt idx="14">
                  <c:v>1.427733217268248</c:v>
                </c:pt>
                <c:pt idx="15">
                  <c:v>1.6239367495446526</c:v>
                </c:pt>
                <c:pt idx="16">
                  <c:v>1.5880206727824897</c:v>
                </c:pt>
              </c:numCache>
            </c:numRef>
          </c:val>
        </c:ser>
        <c:ser>
          <c:idx val="1"/>
          <c:order val="1"/>
          <c:tx>
            <c:v>Fiscal</c:v>
          </c:tx>
          <c:spPr>
            <a:solidFill>
              <a:schemeClr val="accent1"/>
            </a:solidFill>
          </c:spPr>
          <c:invertIfNegative val="0"/>
          <c:val>
            <c:numRef>
              <c:f>combined!$R$6:$R$22</c:f>
              <c:numCache>
                <c:formatCode>0.00</c:formatCode>
                <c:ptCount val="17"/>
                <c:pt idx="0">
                  <c:v>3.1444755764462914E-2</c:v>
                </c:pt>
                <c:pt idx="1">
                  <c:v>-0.13994830639559463</c:v>
                </c:pt>
                <c:pt idx="2">
                  <c:v>-0.98281501887086165</c:v>
                </c:pt>
                <c:pt idx="3">
                  <c:v>-0.54023184320988915</c:v>
                </c:pt>
                <c:pt idx="4">
                  <c:v>-0.19816211979880172</c:v>
                </c:pt>
                <c:pt idx="5">
                  <c:v>-0.75925974702796295</c:v>
                </c:pt>
                <c:pt idx="6">
                  <c:v>-1.0103486703971063</c:v>
                </c:pt>
                <c:pt idx="7">
                  <c:v>-1.1220882948492716</c:v>
                </c:pt>
                <c:pt idx="8">
                  <c:v>-0.87121556795047506</c:v>
                </c:pt>
                <c:pt idx="9">
                  <c:v>-1.0745829953795492</c:v>
                </c:pt>
                <c:pt idx="10">
                  <c:v>-1.0284661378327611</c:v>
                </c:pt>
                <c:pt idx="11">
                  <c:v>-1.0419283840120108</c:v>
                </c:pt>
                <c:pt idx="12">
                  <c:v>-0.86860238752534924</c:v>
                </c:pt>
                <c:pt idx="13">
                  <c:v>-0.72550215029908638</c:v>
                </c:pt>
                <c:pt idx="14">
                  <c:v>-0.96028011704510075</c:v>
                </c:pt>
                <c:pt idx="15">
                  <c:v>-0.5839040696334088</c:v>
                </c:pt>
                <c:pt idx="16">
                  <c:v>-0.47147606028788458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"/>
        <c:overlap val="100"/>
        <c:axId val="444504544"/>
        <c:axId val="444505104"/>
      </c:barChart>
      <c:lineChart>
        <c:grouping val="standard"/>
        <c:varyColors val="0"/>
        <c:ser>
          <c:idx val="2"/>
          <c:order val="2"/>
          <c:tx>
            <c:v>Total Policy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combined!$A$6:$A$22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</c:numCache>
            </c:numRef>
          </c:cat>
          <c:val>
            <c:numRef>
              <c:f>combined!$S$6:$S$22</c:f>
              <c:numCache>
                <c:formatCode>0.00</c:formatCode>
                <c:ptCount val="17"/>
                <c:pt idx="0">
                  <c:v>3.5998148388381293E-2</c:v>
                </c:pt>
                <c:pt idx="1">
                  <c:v>-0.12458318806396058</c:v>
                </c:pt>
                <c:pt idx="2">
                  <c:v>-0.98101048774616206</c:v>
                </c:pt>
                <c:pt idx="3">
                  <c:v>-0.52906636617352032</c:v>
                </c:pt>
                <c:pt idx="4">
                  <c:v>-0.26100598728686419</c:v>
                </c:pt>
                <c:pt idx="5">
                  <c:v>-0.92490227446447715</c:v>
                </c:pt>
                <c:pt idx="6">
                  <c:v>-1.1656493732736806</c:v>
                </c:pt>
                <c:pt idx="7">
                  <c:v>-1.2508261838263344</c:v>
                </c:pt>
                <c:pt idx="8">
                  <c:v>-0.88992981631916401</c:v>
                </c:pt>
                <c:pt idx="9">
                  <c:v>-1.0680205599127839</c:v>
                </c:pt>
                <c:pt idx="10">
                  <c:v>-0.84511750191564516</c:v>
                </c:pt>
                <c:pt idx="11">
                  <c:v>-0.671873202518255</c:v>
                </c:pt>
                <c:pt idx="12">
                  <c:v>-0.12725074296576999</c:v>
                </c:pt>
                <c:pt idx="13">
                  <c:v>0.35306896422259326</c:v>
                </c:pt>
                <c:pt idx="14">
                  <c:v>0.46745310022314723</c:v>
                </c:pt>
                <c:pt idx="15">
                  <c:v>1.0400326799112438</c:v>
                </c:pt>
                <c:pt idx="16">
                  <c:v>1.116544612494605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combined!$U$6:$U$14</c:f>
              <c:strCach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combined!$U$6:$U$22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4504544"/>
        <c:axId val="444505104"/>
      </c:lineChart>
      <c:catAx>
        <c:axId val="444504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Quarters into</a:t>
                </a:r>
                <a:r>
                  <a:rPr lang="en-US" baseline="0"/>
                  <a:t> 2007 recession</a:t>
                </a:r>
                <a:endParaRPr lang="en-US"/>
              </a:p>
            </c:rich>
          </c:tx>
          <c:overlay val="0"/>
        </c:title>
        <c:majorTickMark val="out"/>
        <c:minorTickMark val="none"/>
        <c:tickLblPos val="nextTo"/>
        <c:crossAx val="444505104"/>
        <c:crossesAt val="-1.5"/>
        <c:auto val="1"/>
        <c:lblAlgn val="ctr"/>
        <c:lblOffset val="100"/>
        <c:noMultiLvlLbl val="0"/>
      </c:catAx>
      <c:valAx>
        <c:axId val="4445051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Contribution of policies to UE 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444504544"/>
        <c:crosses val="autoZero"/>
        <c:crossBetween val="between"/>
      </c:valAx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0.14593000874890641"/>
          <c:y val="6.8868474773986582E-2"/>
          <c:w val="0.24739407574053243"/>
          <c:h val="0.2537952755905512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085739282589675E-2"/>
          <c:y val="5.1400554097404488E-2"/>
          <c:w val="0.87551049868766406"/>
          <c:h val="0.8326195683872849"/>
        </c:manualLayout>
      </c:layout>
      <c:lineChart>
        <c:grouping val="standard"/>
        <c:varyColors val="0"/>
        <c:ser>
          <c:idx val="0"/>
          <c:order val="0"/>
          <c:tx>
            <c:v>Pre-90 recessions</c:v>
          </c:tx>
          <c:marker>
            <c:symbol val="none"/>
          </c:marker>
          <c:val>
            <c:numRef>
              <c:f>normalized!$F$6:$F$23</c:f>
              <c:numCache>
                <c:formatCode>0.00</c:formatCode>
                <c:ptCount val="18"/>
                <c:pt idx="0">
                  <c:v>0</c:v>
                </c:pt>
                <c:pt idx="1">
                  <c:v>6.738138250569406E-2</c:v>
                </c:pt>
                <c:pt idx="2">
                  <c:v>0.39569519484650795</c:v>
                </c:pt>
                <c:pt idx="3">
                  <c:v>0.73203642732691576</c:v>
                </c:pt>
                <c:pt idx="4">
                  <c:v>0.91388388466430892</c:v>
                </c:pt>
                <c:pt idx="5">
                  <c:v>1</c:v>
                </c:pt>
                <c:pt idx="6">
                  <c:v>0.96909580830584097</c:v>
                </c:pt>
                <c:pt idx="7">
                  <c:v>0.81804491717334127</c:v>
                </c:pt>
                <c:pt idx="8">
                  <c:v>0.64519630871373956</c:v>
                </c:pt>
                <c:pt idx="9">
                  <c:v>0.57097853368817786</c:v>
                </c:pt>
                <c:pt idx="10">
                  <c:v>0.4776216946779821</c:v>
                </c:pt>
                <c:pt idx="11">
                  <c:v>0.39733037167681484</c:v>
                </c:pt>
                <c:pt idx="12">
                  <c:v>0.41548799284895038</c:v>
                </c:pt>
                <c:pt idx="13">
                  <c:v>0.37202112906146506</c:v>
                </c:pt>
                <c:pt idx="14">
                  <c:v>0.29933491180080241</c:v>
                </c:pt>
                <c:pt idx="15">
                  <c:v>0.27184706404077946</c:v>
                </c:pt>
                <c:pt idx="16">
                  <c:v>0.239565633769698</c:v>
                </c:pt>
                <c:pt idx="17">
                  <c:v>3.9651769897299481E-2</c:v>
                </c:pt>
              </c:numCache>
            </c:numRef>
          </c:val>
          <c:smooth val="0"/>
        </c:ser>
        <c:ser>
          <c:idx val="1"/>
          <c:order val="1"/>
          <c:tx>
            <c:v>1990 recession</c:v>
          </c:tx>
          <c:marker>
            <c:symbol val="none"/>
          </c:marker>
          <c:val>
            <c:numRef>
              <c:f>normalized!$G$6:$G$23</c:f>
              <c:numCache>
                <c:formatCode>0.00</c:formatCode>
                <c:ptCount val="18"/>
                <c:pt idx="0" formatCode="General">
                  <c:v>0</c:v>
                </c:pt>
                <c:pt idx="1">
                  <c:v>0.17391304347826103</c:v>
                </c:pt>
                <c:pt idx="2">
                  <c:v>0.34782608695652167</c:v>
                </c:pt>
                <c:pt idx="3">
                  <c:v>0.56521739130434778</c:v>
                </c:pt>
                <c:pt idx="4">
                  <c:v>0.65217391304347827</c:v>
                </c:pt>
                <c:pt idx="5">
                  <c:v>0.69565217391304379</c:v>
                </c:pt>
                <c:pt idx="6">
                  <c:v>0.78260869565217395</c:v>
                </c:pt>
                <c:pt idx="7">
                  <c:v>0.91304347826086985</c:v>
                </c:pt>
                <c:pt idx="8">
                  <c:v>1</c:v>
                </c:pt>
                <c:pt idx="9">
                  <c:v>1</c:v>
                </c:pt>
                <c:pt idx="10">
                  <c:v>0.91304347826086985</c:v>
                </c:pt>
                <c:pt idx="11">
                  <c:v>0.78260869565217395</c:v>
                </c:pt>
                <c:pt idx="12">
                  <c:v>0.78260869565217395</c:v>
                </c:pt>
                <c:pt idx="13">
                  <c:v>0.65217391304347827</c:v>
                </c:pt>
                <c:pt idx="14">
                  <c:v>0.56521739130434778</c:v>
                </c:pt>
                <c:pt idx="15">
                  <c:v>0.56521739130434778</c:v>
                </c:pt>
                <c:pt idx="16">
                  <c:v>0.39130434782608714</c:v>
                </c:pt>
                <c:pt idx="17">
                  <c:v>0.3043478260869566</c:v>
                </c:pt>
              </c:numCache>
            </c:numRef>
          </c:val>
          <c:smooth val="0"/>
        </c:ser>
        <c:ser>
          <c:idx val="2"/>
          <c:order val="2"/>
          <c:tx>
            <c:v>2001 recession</c:v>
          </c:tx>
          <c:marker>
            <c:symbol val="none"/>
          </c:marker>
          <c:val>
            <c:numRef>
              <c:f>normalized!$H$6:$H$23</c:f>
              <c:numCache>
                <c:formatCode>0.00</c:formatCode>
                <c:ptCount val="18"/>
                <c:pt idx="0" formatCode="General">
                  <c:v>0</c:v>
                </c:pt>
                <c:pt idx="1">
                  <c:v>0.13636363636363649</c:v>
                </c:pt>
                <c:pt idx="2">
                  <c:v>0.22727272727272751</c:v>
                </c:pt>
                <c:pt idx="3">
                  <c:v>0.40909090909090912</c:v>
                </c:pt>
                <c:pt idx="4">
                  <c:v>0.7272727272727274</c:v>
                </c:pt>
                <c:pt idx="5">
                  <c:v>0.81818181818181845</c:v>
                </c:pt>
                <c:pt idx="6">
                  <c:v>0.86363636363636365</c:v>
                </c:pt>
                <c:pt idx="7">
                  <c:v>0.81818181818181845</c:v>
                </c:pt>
                <c:pt idx="8">
                  <c:v>0.90909090909090939</c:v>
                </c:pt>
                <c:pt idx="9">
                  <c:v>0.90909090909090939</c:v>
                </c:pt>
                <c:pt idx="10">
                  <c:v>1</c:v>
                </c:pt>
                <c:pt idx="11">
                  <c:v>1</c:v>
                </c:pt>
                <c:pt idx="12">
                  <c:v>0.86363636363636365</c:v>
                </c:pt>
                <c:pt idx="13">
                  <c:v>0.81818181818181845</c:v>
                </c:pt>
                <c:pt idx="14">
                  <c:v>0.77272727272727271</c:v>
                </c:pt>
                <c:pt idx="15">
                  <c:v>0.6818181818181821</c:v>
                </c:pt>
                <c:pt idx="16">
                  <c:v>0.6818181818181821</c:v>
                </c:pt>
                <c:pt idx="17">
                  <c:v>0.63636363636363635</c:v>
                </c:pt>
              </c:numCache>
            </c:numRef>
          </c:val>
          <c:smooth val="0"/>
        </c:ser>
        <c:ser>
          <c:idx val="3"/>
          <c:order val="3"/>
          <c:tx>
            <c:v>2007 recession</c:v>
          </c:tx>
          <c:marker>
            <c:symbol val="none"/>
          </c:marker>
          <c:val>
            <c:numRef>
              <c:f>normalized!$I$6:$I$23</c:f>
              <c:numCache>
                <c:formatCode>0.00</c:formatCode>
                <c:ptCount val="18"/>
                <c:pt idx="0" formatCode="General">
                  <c:v>0</c:v>
                </c:pt>
                <c:pt idx="1">
                  <c:v>1.9230769230769162E-2</c:v>
                </c:pt>
                <c:pt idx="2">
                  <c:v>5.7692307692307654E-2</c:v>
                </c:pt>
                <c:pt idx="3">
                  <c:v>0.11538461538461531</c:v>
                </c:pt>
                <c:pt idx="4">
                  <c:v>0.24999999999999994</c:v>
                </c:pt>
                <c:pt idx="5">
                  <c:v>0.42307692307692307</c:v>
                </c:pt>
                <c:pt idx="6">
                  <c:v>0.6923076923076924</c:v>
                </c:pt>
                <c:pt idx="7">
                  <c:v>0.88461538461538469</c:v>
                </c:pt>
                <c:pt idx="8">
                  <c:v>0.94230769230769218</c:v>
                </c:pt>
                <c:pt idx="9">
                  <c:v>1</c:v>
                </c:pt>
                <c:pt idx="10">
                  <c:v>0.98076923076923084</c:v>
                </c:pt>
                <c:pt idx="11">
                  <c:v>0.94230769230769218</c:v>
                </c:pt>
                <c:pt idx="12">
                  <c:v>0.92307692307692302</c:v>
                </c:pt>
                <c:pt idx="13">
                  <c:v>0.92307692307692302</c:v>
                </c:pt>
                <c:pt idx="14">
                  <c:v>0.82692307692307687</c:v>
                </c:pt>
                <c:pt idx="15">
                  <c:v>0.82692307692307687</c:v>
                </c:pt>
                <c:pt idx="16">
                  <c:v>0.82692307692307687</c:v>
                </c:pt>
                <c:pt idx="17">
                  <c:v>0.76923076923076905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4509584"/>
        <c:axId val="444510144"/>
      </c:lineChart>
      <c:catAx>
        <c:axId val="444509584"/>
        <c:scaling>
          <c:orientation val="minMax"/>
        </c:scaling>
        <c:delete val="0"/>
        <c:axPos val="b"/>
        <c:majorTickMark val="out"/>
        <c:minorTickMark val="none"/>
        <c:tickLblPos val="nextTo"/>
        <c:crossAx val="444510144"/>
        <c:crosses val="autoZero"/>
        <c:auto val="1"/>
        <c:lblAlgn val="ctr"/>
        <c:lblOffset val="100"/>
        <c:noMultiLvlLbl val="0"/>
      </c:catAx>
      <c:valAx>
        <c:axId val="444510144"/>
        <c:scaling>
          <c:orientation val="minMax"/>
        </c:scaling>
        <c:delete val="0"/>
        <c:axPos val="l"/>
        <c:numFmt formatCode="0.00" sourceLinked="1"/>
        <c:majorTickMark val="out"/>
        <c:minorTickMark val="none"/>
        <c:tickLblPos val="nextTo"/>
        <c:crossAx val="4445095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9637401574803152"/>
          <c:y val="0.68904709827938171"/>
          <c:w val="0.55918153980752405"/>
          <c:h val="0.18209098862642167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58573928258968"/>
          <c:y val="5.1400554097404488E-2"/>
          <c:w val="0.88089938757655295"/>
          <c:h val="0.89719889180519097"/>
        </c:manualLayout>
      </c:layout>
      <c:lineChart>
        <c:grouping val="standard"/>
        <c:varyColors val="0"/>
        <c:ser>
          <c:idx val="0"/>
          <c:order val="0"/>
          <c:tx>
            <c:v>Pre-90 recessions</c:v>
          </c:tx>
          <c:marker>
            <c:symbol val="none"/>
          </c:marker>
          <c:val>
            <c:numRef>
              <c:f>normalized!$L$6:$L$23</c:f>
              <c:numCache>
                <c:formatCode>0.00</c:formatCode>
                <c:ptCount val="18"/>
                <c:pt idx="0">
                  <c:v>0</c:v>
                </c:pt>
                <c:pt idx="1">
                  <c:v>6.738138250569406E-2</c:v>
                </c:pt>
                <c:pt idx="2">
                  <c:v>0.39569519484650795</c:v>
                </c:pt>
                <c:pt idx="3">
                  <c:v>0.73203642732691576</c:v>
                </c:pt>
                <c:pt idx="4">
                  <c:v>0.91388388466430892</c:v>
                </c:pt>
                <c:pt idx="5">
                  <c:v>1</c:v>
                </c:pt>
                <c:pt idx="6">
                  <c:v>0.96909580830584097</c:v>
                </c:pt>
                <c:pt idx="7">
                  <c:v>0.81804491717334127</c:v>
                </c:pt>
                <c:pt idx="8">
                  <c:v>0.64519630871373956</c:v>
                </c:pt>
                <c:pt idx="9">
                  <c:v>0.57097853368817786</c:v>
                </c:pt>
                <c:pt idx="10">
                  <c:v>0.4776216946779821</c:v>
                </c:pt>
                <c:pt idx="11">
                  <c:v>0.39733037167681484</c:v>
                </c:pt>
                <c:pt idx="12">
                  <c:v>0.41548799284895038</c:v>
                </c:pt>
                <c:pt idx="13">
                  <c:v>0.37202112906146506</c:v>
                </c:pt>
                <c:pt idx="14">
                  <c:v>0.29933491180080241</c:v>
                </c:pt>
                <c:pt idx="15">
                  <c:v>0.27184706404077946</c:v>
                </c:pt>
                <c:pt idx="16">
                  <c:v>0.239565633769698</c:v>
                </c:pt>
                <c:pt idx="17">
                  <c:v>3.9651769897299481E-2</c:v>
                </c:pt>
              </c:numCache>
            </c:numRef>
          </c:val>
          <c:smooth val="0"/>
        </c:ser>
        <c:ser>
          <c:idx val="1"/>
          <c:order val="1"/>
          <c:tx>
            <c:v>1990 recession</c:v>
          </c:tx>
          <c:marker>
            <c:symbol val="none"/>
          </c:marker>
          <c:val>
            <c:numRef>
              <c:f>normalized!$M$6:$M$23</c:f>
              <c:numCache>
                <c:formatCode>0.00</c:formatCode>
                <c:ptCount val="18"/>
                <c:pt idx="0" formatCode="General">
                  <c:v>0</c:v>
                </c:pt>
                <c:pt idx="1">
                  <c:v>0.11296033519899076</c:v>
                </c:pt>
                <c:pt idx="2">
                  <c:v>0.27417997681463052</c:v>
                </c:pt>
                <c:pt idx="3">
                  <c:v>0.30730158137003111</c:v>
                </c:pt>
                <c:pt idx="4">
                  <c:v>0.57857995980423549</c:v>
                </c:pt>
                <c:pt idx="5">
                  <c:v>0.64272307533368345</c:v>
                </c:pt>
                <c:pt idx="6">
                  <c:v>0.7164804718372203</c:v>
                </c:pt>
                <c:pt idx="7">
                  <c:v>0.79861973580545864</c:v>
                </c:pt>
                <c:pt idx="8">
                  <c:v>1</c:v>
                </c:pt>
                <c:pt idx="9">
                  <c:v>0.94249975297475597</c:v>
                </c:pt>
                <c:pt idx="10">
                  <c:v>0.83204274556481195</c:v>
                </c:pt>
                <c:pt idx="11">
                  <c:v>0.58821094821669584</c:v>
                </c:pt>
                <c:pt idx="12">
                  <c:v>0.47932709923417799</c:v>
                </c:pt>
                <c:pt idx="13">
                  <c:v>0.22512796768588028</c:v>
                </c:pt>
                <c:pt idx="14">
                  <c:v>8.241117862820535E-2</c:v>
                </c:pt>
                <c:pt idx="15">
                  <c:v>2.3484869202342617E-2</c:v>
                </c:pt>
                <c:pt idx="16">
                  <c:v>-0.38427669275358267</c:v>
                </c:pt>
                <c:pt idx="17">
                  <c:v>-0.48577729886493554</c:v>
                </c:pt>
              </c:numCache>
            </c:numRef>
          </c:val>
          <c:smooth val="0"/>
        </c:ser>
        <c:ser>
          <c:idx val="2"/>
          <c:order val="2"/>
          <c:tx>
            <c:v>2001 recession</c:v>
          </c:tx>
          <c:marker>
            <c:symbol val="none"/>
          </c:marker>
          <c:val>
            <c:numRef>
              <c:f>normalized!$N$6:$N$23</c:f>
              <c:numCache>
                <c:formatCode>0.00</c:formatCode>
                <c:ptCount val="18"/>
                <c:pt idx="0" formatCode="General">
                  <c:v>0</c:v>
                </c:pt>
                <c:pt idx="1">
                  <c:v>6.68318265955756E-2</c:v>
                </c:pt>
                <c:pt idx="2">
                  <c:v>0.17180194148710995</c:v>
                </c:pt>
                <c:pt idx="3">
                  <c:v>0.48893566530248123</c:v>
                </c:pt>
                <c:pt idx="4">
                  <c:v>0.56915410491236174</c:v>
                </c:pt>
                <c:pt idx="5">
                  <c:v>0.84015637030332857</c:v>
                </c:pt>
                <c:pt idx="6">
                  <c:v>0.880994939886659</c:v>
                </c:pt>
                <c:pt idx="7">
                  <c:v>0.73414563241816966</c:v>
                </c:pt>
                <c:pt idx="8">
                  <c:v>0.84982185987229775</c:v>
                </c:pt>
                <c:pt idx="9">
                  <c:v>0.78240659967429005</c:v>
                </c:pt>
                <c:pt idx="10">
                  <c:v>0.94227775395326729</c:v>
                </c:pt>
                <c:pt idx="11">
                  <c:v>1</c:v>
                </c:pt>
                <c:pt idx="12">
                  <c:v>0.84722991097504374</c:v>
                </c:pt>
                <c:pt idx="13">
                  <c:v>0.77901691076825796</c:v>
                </c:pt>
                <c:pt idx="14">
                  <c:v>0.7469631830675848</c:v>
                </c:pt>
                <c:pt idx="15">
                  <c:v>0.65413634572218027</c:v>
                </c:pt>
                <c:pt idx="16">
                  <c:v>0.56438378980087744</c:v>
                </c:pt>
                <c:pt idx="17">
                  <c:v>0.44621821603388262</c:v>
                </c:pt>
              </c:numCache>
            </c:numRef>
          </c:val>
          <c:smooth val="0"/>
        </c:ser>
        <c:ser>
          <c:idx val="3"/>
          <c:order val="3"/>
          <c:tx>
            <c:v>2007 recession</c:v>
          </c:tx>
          <c:marker>
            <c:symbol val="none"/>
          </c:marker>
          <c:val>
            <c:numRef>
              <c:f>normalized!$O$6:$O$23</c:f>
              <c:numCache>
                <c:formatCode>0.00</c:formatCode>
                <c:ptCount val="18"/>
                <c:pt idx="0" formatCode="General">
                  <c:v>0</c:v>
                </c:pt>
                <c:pt idx="1">
                  <c:v>1.0376400498334729E-2</c:v>
                </c:pt>
                <c:pt idx="2">
                  <c:v>6.88362147855687E-2</c:v>
                </c:pt>
                <c:pt idx="3">
                  <c:v>0.25632380313734188</c:v>
                </c:pt>
                <c:pt idx="4">
                  <c:v>0.29654025118868654</c:v>
                </c:pt>
                <c:pt idx="5">
                  <c:v>0.39899445265819017</c:v>
                </c:pt>
                <c:pt idx="6">
                  <c:v>0.73360687282282022</c:v>
                </c:pt>
                <c:pt idx="7">
                  <c:v>0.93476494075681349</c:v>
                </c:pt>
                <c:pt idx="8">
                  <c:v>0.99721233482939398</c:v>
                </c:pt>
                <c:pt idx="9">
                  <c:v>0.98733941580850948</c:v>
                </c:pt>
                <c:pt idx="10">
                  <c:v>1</c:v>
                </c:pt>
                <c:pt idx="11">
                  <c:v>0.9314361789346699</c:v>
                </c:pt>
                <c:pt idx="12">
                  <c:v>0.88713601865743885</c:v>
                </c:pt>
                <c:pt idx="13">
                  <c:v>0.79883824885230958</c:v>
                </c:pt>
                <c:pt idx="14">
                  <c:v>0.63990237993519528</c:v>
                </c:pt>
                <c:pt idx="15">
                  <c:v>0.62135767261953578</c:v>
                </c:pt>
                <c:pt idx="16">
                  <c:v>0.52852731089710436</c:v>
                </c:pt>
                <c:pt idx="17">
                  <c:v>0.46748472374517613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4514064"/>
        <c:axId val="444514624"/>
      </c:lineChart>
      <c:catAx>
        <c:axId val="444514064"/>
        <c:scaling>
          <c:orientation val="minMax"/>
        </c:scaling>
        <c:delete val="0"/>
        <c:axPos val="b"/>
        <c:majorTickMark val="out"/>
        <c:minorTickMark val="none"/>
        <c:tickLblPos val="nextTo"/>
        <c:crossAx val="444514624"/>
        <c:crosses val="autoZero"/>
        <c:auto val="1"/>
        <c:lblAlgn val="ctr"/>
        <c:lblOffset val="100"/>
        <c:noMultiLvlLbl val="0"/>
      </c:catAx>
      <c:valAx>
        <c:axId val="444514624"/>
        <c:scaling>
          <c:orientation val="minMax"/>
          <c:min val="0"/>
        </c:scaling>
        <c:delete val="0"/>
        <c:axPos val="l"/>
        <c:numFmt formatCode="0.00" sourceLinked="1"/>
        <c:majorTickMark val="out"/>
        <c:minorTickMark val="none"/>
        <c:tickLblPos val="nextTo"/>
        <c:crossAx val="4445140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4359623797025373"/>
          <c:y val="0.70756561679790031"/>
          <c:w val="0.61195931758530187"/>
          <c:h val="0.21912802566345874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80796150481189"/>
          <c:y val="5.1400554097404488E-2"/>
          <c:w val="0.85526049868766407"/>
          <c:h val="0.76756926217556143"/>
        </c:manualLayout>
      </c:layout>
      <c:lineChart>
        <c:grouping val="standard"/>
        <c:varyColors val="0"/>
        <c:ser>
          <c:idx val="0"/>
          <c:order val="0"/>
          <c:tx>
            <c:v>Pre-1990 recession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'Figure 3 - Panel C'!$A$5:$A$22</c:f>
              <c:numCache>
                <c:formatCode>General</c:formatCode>
                <c:ptCount val="18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</c:numCache>
            </c:numRef>
          </c:cat>
          <c:val>
            <c:numRef>
              <c:f>'Figure 3 - Panel C'!$Q$5:$Q$22</c:f>
              <c:numCache>
                <c:formatCode>0.00</c:formatCode>
                <c:ptCount val="18"/>
                <c:pt idx="0">
                  <c:v>0</c:v>
                </c:pt>
                <c:pt idx="1">
                  <c:v>4.0848688901662177E-2</c:v>
                </c:pt>
                <c:pt idx="2">
                  <c:v>0.34221124980516859</c:v>
                </c:pt>
                <c:pt idx="3">
                  <c:v>0.68705348701231395</c:v>
                </c:pt>
                <c:pt idx="4">
                  <c:v>0.87187485782520735</c:v>
                </c:pt>
                <c:pt idx="5">
                  <c:v>1</c:v>
                </c:pt>
                <c:pt idx="6">
                  <c:v>0.99035672854641965</c:v>
                </c:pt>
                <c:pt idx="7">
                  <c:v>0.8476247090537038</c:v>
                </c:pt>
                <c:pt idx="8">
                  <c:v>0.66859562290659602</c:v>
                </c:pt>
                <c:pt idx="9">
                  <c:v>0.58281228032388821</c:v>
                </c:pt>
                <c:pt idx="10">
                  <c:v>0.49507546847056488</c:v>
                </c:pt>
                <c:pt idx="11">
                  <c:v>0.38611739252439931</c:v>
                </c:pt>
                <c:pt idx="12">
                  <c:v>0.40711028496136459</c:v>
                </c:pt>
                <c:pt idx="13">
                  <c:v>0.38735259352113827</c:v>
                </c:pt>
                <c:pt idx="14">
                  <c:v>0.28248013828334106</c:v>
                </c:pt>
                <c:pt idx="15">
                  <c:v>0.24764517699420016</c:v>
                </c:pt>
                <c:pt idx="16">
                  <c:v>0.2453488546958886</c:v>
                </c:pt>
                <c:pt idx="17">
                  <c:v>2.0398464299961155E-2</c:v>
                </c:pt>
              </c:numCache>
            </c:numRef>
          </c:val>
          <c:smooth val="0"/>
        </c:ser>
        <c:ser>
          <c:idx val="1"/>
          <c:order val="1"/>
          <c:tx>
            <c:v>1990 recession</c:v>
          </c:tx>
          <c:spPr>
            <a:ln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numRef>
              <c:f>'Figure 3 - Panel C'!$A$5:$A$22</c:f>
              <c:numCache>
                <c:formatCode>General</c:formatCode>
                <c:ptCount val="18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</c:numCache>
            </c:numRef>
          </c:cat>
          <c:val>
            <c:numRef>
              <c:f>'Figure 3 - Panel C'!$R$5:$R$22</c:f>
              <c:numCache>
                <c:formatCode>0.00</c:formatCode>
                <c:ptCount val="18"/>
                <c:pt idx="0">
                  <c:v>0</c:v>
                </c:pt>
                <c:pt idx="1">
                  <c:v>0.16205533596837948</c:v>
                </c:pt>
                <c:pt idx="2">
                  <c:v>0.32806324110671936</c:v>
                </c:pt>
                <c:pt idx="3">
                  <c:v>0.53359683794466384</c:v>
                </c:pt>
                <c:pt idx="4">
                  <c:v>0.62450592885375489</c:v>
                </c:pt>
                <c:pt idx="5">
                  <c:v>0.67193675889328097</c:v>
                </c:pt>
                <c:pt idx="6">
                  <c:v>0.76284584980237136</c:v>
                </c:pt>
                <c:pt idx="7">
                  <c:v>0.89328063241106737</c:v>
                </c:pt>
                <c:pt idx="8">
                  <c:v>0.98418972332015808</c:v>
                </c:pt>
                <c:pt idx="9">
                  <c:v>1</c:v>
                </c:pt>
                <c:pt idx="10">
                  <c:v>0.93280632411067199</c:v>
                </c:pt>
                <c:pt idx="11">
                  <c:v>0.82608695652173902</c:v>
                </c:pt>
                <c:pt idx="12">
                  <c:v>0.84189723320158094</c:v>
                </c:pt>
                <c:pt idx="13">
                  <c:v>0.73517786561264831</c:v>
                </c:pt>
                <c:pt idx="14">
                  <c:v>0.66798418972331985</c:v>
                </c:pt>
                <c:pt idx="15">
                  <c:v>0.68379446640316177</c:v>
                </c:pt>
                <c:pt idx="16">
                  <c:v>0.53754940711462462</c:v>
                </c:pt>
                <c:pt idx="17">
                  <c:v>0.47035573122529656</c:v>
                </c:pt>
              </c:numCache>
            </c:numRef>
          </c:val>
          <c:smooth val="0"/>
        </c:ser>
        <c:ser>
          <c:idx val="2"/>
          <c:order val="2"/>
          <c:tx>
            <c:v>2001 recession</c:v>
          </c:tx>
          <c:spPr>
            <a:ln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'Figure 3 - Panel C'!$A$5:$A$22</c:f>
              <c:numCache>
                <c:formatCode>General</c:formatCode>
                <c:ptCount val="18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</c:numCache>
            </c:numRef>
          </c:cat>
          <c:val>
            <c:numRef>
              <c:f>'Figure 3 - Panel C'!$S$5:$S$22</c:f>
              <c:numCache>
                <c:formatCode>0.00</c:formatCode>
                <c:ptCount val="18"/>
                <c:pt idx="0">
                  <c:v>0</c:v>
                </c:pt>
                <c:pt idx="1">
                  <c:v>0.13636363636363649</c:v>
                </c:pt>
                <c:pt idx="2">
                  <c:v>0.22727272727272751</c:v>
                </c:pt>
                <c:pt idx="3">
                  <c:v>0.40909090909090912</c:v>
                </c:pt>
                <c:pt idx="4">
                  <c:v>0.7272727272727274</c:v>
                </c:pt>
                <c:pt idx="5">
                  <c:v>0.81818181818181845</c:v>
                </c:pt>
                <c:pt idx="6">
                  <c:v>0.86363636363636365</c:v>
                </c:pt>
                <c:pt idx="7">
                  <c:v>0.81818181818181845</c:v>
                </c:pt>
                <c:pt idx="8">
                  <c:v>0.90909090909090939</c:v>
                </c:pt>
                <c:pt idx="9">
                  <c:v>0.90909090909090939</c:v>
                </c:pt>
                <c:pt idx="10">
                  <c:v>1</c:v>
                </c:pt>
                <c:pt idx="11">
                  <c:v>1</c:v>
                </c:pt>
                <c:pt idx="12">
                  <c:v>0.86363636363636365</c:v>
                </c:pt>
                <c:pt idx="13">
                  <c:v>0.81818181818181845</c:v>
                </c:pt>
                <c:pt idx="14">
                  <c:v>0.77272727272727271</c:v>
                </c:pt>
                <c:pt idx="15">
                  <c:v>0.6818181818181821</c:v>
                </c:pt>
                <c:pt idx="16">
                  <c:v>0.6818181818181821</c:v>
                </c:pt>
                <c:pt idx="17">
                  <c:v>0.63636363636363635</c:v>
                </c:pt>
              </c:numCache>
            </c:numRef>
          </c:val>
          <c:smooth val="0"/>
        </c:ser>
        <c:ser>
          <c:idx val="3"/>
          <c:order val="3"/>
          <c:tx>
            <c:v>2007 recession</c:v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'Figure 3 - Panel C'!$A$5:$A$22</c:f>
              <c:numCache>
                <c:formatCode>General</c:formatCode>
                <c:ptCount val="18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</c:numCache>
            </c:numRef>
          </c:cat>
          <c:val>
            <c:numRef>
              <c:f>'Figure 3 - Panel C'!$T$5:$T$22</c:f>
              <c:numCache>
                <c:formatCode>0.00</c:formatCode>
                <c:ptCount val="18"/>
                <c:pt idx="0">
                  <c:v>0</c:v>
                </c:pt>
                <c:pt idx="1">
                  <c:v>1.8367346938775481E-2</c:v>
                </c:pt>
                <c:pt idx="2">
                  <c:v>5.5102040816326442E-2</c:v>
                </c:pt>
                <c:pt idx="3">
                  <c:v>0.11224489795918363</c:v>
                </c:pt>
                <c:pt idx="4">
                  <c:v>0.24897959183673463</c:v>
                </c:pt>
                <c:pt idx="5">
                  <c:v>0.42448979591836733</c:v>
                </c:pt>
                <c:pt idx="6">
                  <c:v>0.70408163265306123</c:v>
                </c:pt>
                <c:pt idx="7">
                  <c:v>0.89795918367346939</c:v>
                </c:pt>
                <c:pt idx="8">
                  <c:v>0.94897959183673453</c:v>
                </c:pt>
                <c:pt idx="9">
                  <c:v>1</c:v>
                </c:pt>
                <c:pt idx="10">
                  <c:v>0.96938775510204089</c:v>
                </c:pt>
                <c:pt idx="11">
                  <c:v>0.91836734693877531</c:v>
                </c:pt>
                <c:pt idx="12">
                  <c:v>0.8877551020408162</c:v>
                </c:pt>
                <c:pt idx="13">
                  <c:v>0.87755102040816313</c:v>
                </c:pt>
                <c:pt idx="14">
                  <c:v>0.77551020408163251</c:v>
                </c:pt>
                <c:pt idx="15">
                  <c:v>0.77551020408163251</c:v>
                </c:pt>
                <c:pt idx="16">
                  <c:v>0.77551020408163251</c:v>
                </c:pt>
                <c:pt idx="17">
                  <c:v>0.71428571428571408</c:v>
                </c:pt>
              </c:numCache>
            </c:numRef>
          </c:val>
          <c:smooth val="0"/>
        </c:ser>
        <c:ser>
          <c:idx val="4"/>
          <c:order val="4"/>
          <c:spPr>
            <a:ln w="1270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'Figure 3 - Panel C'!$U$5:$U$22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5919872"/>
        <c:axId val="445920432"/>
      </c:lineChart>
      <c:catAx>
        <c:axId val="445919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Quarters after start</a:t>
                </a:r>
                <a:r>
                  <a:rPr lang="en-US" baseline="0"/>
                  <a:t> of NBER-dated recession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45920432"/>
        <c:crossesAt val="-4"/>
        <c:auto val="1"/>
        <c:lblAlgn val="ctr"/>
        <c:lblOffset val="100"/>
        <c:noMultiLvlLbl val="0"/>
      </c:catAx>
      <c:valAx>
        <c:axId val="445920432"/>
        <c:scaling>
          <c:orientation val="minMax"/>
          <c:min val="-0.4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UE </a:t>
                </a:r>
                <a:r>
                  <a:rPr lang="en-US" baseline="0"/>
                  <a:t>gap </a:t>
                </a:r>
                <a:endParaRPr lang="en-US"/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445919872"/>
        <c:crosses val="autoZero"/>
        <c:crossBetween val="between"/>
      </c:valAx>
    </c:plotArea>
    <c:legend>
      <c:legendPos val="r"/>
      <c:legendEntry>
        <c:idx val="4"/>
        <c:delete val="1"/>
      </c:legendEntry>
      <c:layout>
        <c:manualLayout>
          <c:xMode val="edge"/>
          <c:yMode val="edge"/>
          <c:x val="0.22629068241469819"/>
          <c:y val="0.64275080198308543"/>
          <c:w val="0.64870931758530181"/>
          <c:h val="0.17283172936716243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80796150481189"/>
          <c:y val="5.1400554097404488E-2"/>
          <c:w val="0.85526049868766407"/>
          <c:h val="0.76756926217556143"/>
        </c:manualLayout>
      </c:layout>
      <c:lineChart>
        <c:grouping val="standard"/>
        <c:varyColors val="0"/>
        <c:ser>
          <c:idx val="0"/>
          <c:order val="0"/>
          <c:tx>
            <c:v>Pre-1990 recession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'Figure 3 - Panel C'!$A$5:$A$22</c:f>
              <c:numCache>
                <c:formatCode>General</c:formatCode>
                <c:ptCount val="18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</c:numCache>
            </c:numRef>
          </c:cat>
          <c:val>
            <c:numRef>
              <c:f>'Figure 3 - Panel C'!$L$5:$L$22</c:f>
              <c:numCache>
                <c:formatCode>0.00</c:formatCode>
                <c:ptCount val="18"/>
                <c:pt idx="0">
                  <c:v>0</c:v>
                </c:pt>
                <c:pt idx="1">
                  <c:v>4.0848688901662177E-2</c:v>
                </c:pt>
                <c:pt idx="2">
                  <c:v>0.34221124980516859</c:v>
                </c:pt>
                <c:pt idx="3">
                  <c:v>0.68705348701231395</c:v>
                </c:pt>
                <c:pt idx="4">
                  <c:v>0.87187485782520735</c:v>
                </c:pt>
                <c:pt idx="5">
                  <c:v>1</c:v>
                </c:pt>
                <c:pt idx="6">
                  <c:v>0.99035672854641965</c:v>
                </c:pt>
                <c:pt idx="7">
                  <c:v>0.8476247090537038</c:v>
                </c:pt>
                <c:pt idx="8">
                  <c:v>0.66859562290659602</c:v>
                </c:pt>
                <c:pt idx="9">
                  <c:v>0.58281228032388821</c:v>
                </c:pt>
                <c:pt idx="10">
                  <c:v>0.49507546847056488</c:v>
                </c:pt>
                <c:pt idx="11">
                  <c:v>0.38611739252439931</c:v>
                </c:pt>
                <c:pt idx="12">
                  <c:v>0.40711028496136459</c:v>
                </c:pt>
                <c:pt idx="13">
                  <c:v>0.38735259352113827</c:v>
                </c:pt>
                <c:pt idx="14">
                  <c:v>0.28248013828334106</c:v>
                </c:pt>
                <c:pt idx="15">
                  <c:v>0.24764517699420016</c:v>
                </c:pt>
                <c:pt idx="16">
                  <c:v>0.2453488546958886</c:v>
                </c:pt>
                <c:pt idx="17">
                  <c:v>2.0398464299961155E-2</c:v>
                </c:pt>
              </c:numCache>
            </c:numRef>
          </c:val>
          <c:smooth val="0"/>
        </c:ser>
        <c:ser>
          <c:idx val="1"/>
          <c:order val="1"/>
          <c:tx>
            <c:v>1990 recession</c:v>
          </c:tx>
          <c:spPr>
            <a:ln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numRef>
              <c:f>'Figure 3 - Panel C'!$A$5:$A$22</c:f>
              <c:numCache>
                <c:formatCode>General</c:formatCode>
                <c:ptCount val="18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</c:numCache>
            </c:numRef>
          </c:cat>
          <c:val>
            <c:numRef>
              <c:f>'Figure 3 - Panel C'!$M$5:$M$22</c:f>
              <c:numCache>
                <c:formatCode>0.00</c:formatCode>
                <c:ptCount val="18"/>
                <c:pt idx="0">
                  <c:v>0</c:v>
                </c:pt>
                <c:pt idx="1">
                  <c:v>0.10742840357132136</c:v>
                </c:pt>
                <c:pt idx="2">
                  <c:v>0.26351703534519116</c:v>
                </c:pt>
                <c:pt idx="3">
                  <c:v>0.30325376285990735</c:v>
                </c:pt>
                <c:pt idx="4">
                  <c:v>0.56413526604000264</c:v>
                </c:pt>
                <c:pt idx="5">
                  <c:v>0.6320489426919591</c:v>
                </c:pt>
                <c:pt idx="6">
                  <c:v>0.71352143300823112</c:v>
                </c:pt>
                <c:pt idx="7">
                  <c:v>0.80260720345858716</c:v>
                </c:pt>
                <c:pt idx="8">
                  <c:v>1</c:v>
                </c:pt>
                <c:pt idx="9">
                  <c:v>0.96707683216574902</c:v>
                </c:pt>
                <c:pt idx="10">
                  <c:v>0.88122672192398943</c:v>
                </c:pt>
                <c:pt idx="11">
                  <c:v>0.67423181395068366</c:v>
                </c:pt>
                <c:pt idx="12">
                  <c:v>0.59463673706437037</c:v>
                </c:pt>
                <c:pt idx="13">
                  <c:v>0.37822514243477412</c:v>
                </c:pt>
                <c:pt idx="14">
                  <c:v>0.26307335738333038</c:v>
                </c:pt>
                <c:pt idx="15">
                  <c:v>0.22885489198080944</c:v>
                </c:pt>
                <c:pt idx="16">
                  <c:v>-0.12703800627086315</c:v>
                </c:pt>
                <c:pt idx="17">
                  <c:v>-0.20475298524663618</c:v>
                </c:pt>
              </c:numCache>
            </c:numRef>
          </c:val>
          <c:smooth val="0"/>
        </c:ser>
        <c:ser>
          <c:idx val="2"/>
          <c:order val="2"/>
          <c:tx>
            <c:v>2001 recession</c:v>
          </c:tx>
          <c:spPr>
            <a:ln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'Figure 3 - Panel C'!$A$5:$A$22</c:f>
              <c:numCache>
                <c:formatCode>General</c:formatCode>
                <c:ptCount val="18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</c:numCache>
            </c:numRef>
          </c:cat>
          <c:val>
            <c:numRef>
              <c:f>'Figure 3 - Panel C'!$N$5:$N$22</c:f>
              <c:numCache>
                <c:formatCode>0.00</c:formatCode>
                <c:ptCount val="18"/>
                <c:pt idx="0">
                  <c:v>0</c:v>
                </c:pt>
                <c:pt idx="1">
                  <c:v>6.6831826595575364E-2</c:v>
                </c:pt>
                <c:pt idx="2">
                  <c:v>0.17180194148710981</c:v>
                </c:pt>
                <c:pt idx="3">
                  <c:v>0.48893566530248106</c:v>
                </c:pt>
                <c:pt idx="4">
                  <c:v>0.56915410491236151</c:v>
                </c:pt>
                <c:pt idx="5">
                  <c:v>0.84015637030332857</c:v>
                </c:pt>
                <c:pt idx="6">
                  <c:v>0.88099493988665856</c:v>
                </c:pt>
                <c:pt idx="7">
                  <c:v>0.73414563241816944</c:v>
                </c:pt>
                <c:pt idx="8">
                  <c:v>0.84982185987229775</c:v>
                </c:pt>
                <c:pt idx="9">
                  <c:v>0.78240659967428983</c:v>
                </c:pt>
                <c:pt idx="10">
                  <c:v>0.94227775395326718</c:v>
                </c:pt>
                <c:pt idx="11">
                  <c:v>1</c:v>
                </c:pt>
                <c:pt idx="12">
                  <c:v>0.84722991097504352</c:v>
                </c:pt>
                <c:pt idx="13">
                  <c:v>0.77901691076825763</c:v>
                </c:pt>
                <c:pt idx="14">
                  <c:v>0.74696318306758458</c:v>
                </c:pt>
                <c:pt idx="15">
                  <c:v>0.65413634572218005</c:v>
                </c:pt>
                <c:pt idx="16">
                  <c:v>0.56438378980087744</c:v>
                </c:pt>
                <c:pt idx="17">
                  <c:v>0.44621821603388256</c:v>
                </c:pt>
              </c:numCache>
            </c:numRef>
          </c:val>
          <c:smooth val="0"/>
        </c:ser>
        <c:ser>
          <c:idx val="3"/>
          <c:order val="3"/>
          <c:tx>
            <c:v>2007 recession</c:v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'Figure 3 - Panel C'!$A$5:$A$22</c:f>
              <c:numCache>
                <c:formatCode>General</c:formatCode>
                <c:ptCount val="18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</c:numCache>
            </c:numRef>
          </c:cat>
          <c:val>
            <c:numRef>
              <c:f>'Figure 3 - Panel C'!$O$5:$O$22</c:f>
              <c:numCache>
                <c:formatCode>0.00</c:formatCode>
                <c:ptCount val="18"/>
                <c:pt idx="0">
                  <c:v>0</c:v>
                </c:pt>
                <c:pt idx="1">
                  <c:v>9.1515746997654478E-3</c:v>
                </c:pt>
                <c:pt idx="2">
                  <c:v>6.6869142688100069E-2</c:v>
                </c:pt>
                <c:pt idx="3">
                  <c:v>0.25945697094798897</c:v>
                </c:pt>
                <c:pt idx="4">
                  <c:v>0.29641041977605831</c:v>
                </c:pt>
                <c:pt idx="5">
                  <c:v>0.39672512193349529</c:v>
                </c:pt>
                <c:pt idx="6">
                  <c:v>0.74140504027312559</c:v>
                </c:pt>
                <c:pt idx="7">
                  <c:v>0.94319832509702717</c:v>
                </c:pt>
                <c:pt idx="8">
                  <c:v>1</c:v>
                </c:pt>
                <c:pt idx="9">
                  <c:v>0.98120663716360135</c:v>
                </c:pt>
                <c:pt idx="10">
                  <c:v>0.98596711353055733</c:v>
                </c:pt>
                <c:pt idx="11">
                  <c:v>0.90582527520742095</c:v>
                </c:pt>
                <c:pt idx="12">
                  <c:v>0.85104577665459546</c:v>
                </c:pt>
                <c:pt idx="13">
                  <c:v>0.7502764197834686</c:v>
                </c:pt>
                <c:pt idx="14">
                  <c:v>0.58414380095200114</c:v>
                </c:pt>
                <c:pt idx="15">
                  <c:v>0.56475937368077067</c:v>
                </c:pt>
                <c:pt idx="16">
                  <c:v>0.4677255750480489</c:v>
                </c:pt>
                <c:pt idx="17">
                  <c:v>0.40391892817284536</c:v>
                </c:pt>
              </c:numCache>
            </c:numRef>
          </c:val>
          <c:smooth val="0"/>
        </c:ser>
        <c:ser>
          <c:idx val="4"/>
          <c:order val="4"/>
          <c:spPr>
            <a:ln w="1270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'Figure 3 - Panel C'!$U$5:$U$22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5925472"/>
        <c:axId val="445926032"/>
      </c:lineChart>
      <c:catAx>
        <c:axId val="445925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Quarters after start</a:t>
                </a:r>
                <a:r>
                  <a:rPr lang="en-US" baseline="0"/>
                  <a:t> of NBER-dated recession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45926032"/>
        <c:crossesAt val="-4"/>
        <c:auto val="1"/>
        <c:lblAlgn val="ctr"/>
        <c:lblOffset val="100"/>
        <c:noMultiLvlLbl val="0"/>
      </c:catAx>
      <c:valAx>
        <c:axId val="445926032"/>
        <c:scaling>
          <c:orientation val="minMax"/>
          <c:min val="-0.4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UE</a:t>
                </a:r>
                <a:r>
                  <a:rPr lang="en-US" baseline="0"/>
                  <a:t> gap after policy adjustment </a:t>
                </a:r>
                <a:endParaRPr lang="en-US"/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445925472"/>
        <c:crosses val="autoZero"/>
        <c:crossBetween val="between"/>
      </c:valAx>
    </c:plotArea>
    <c:legend>
      <c:legendPos val="r"/>
      <c:legendEntry>
        <c:idx val="4"/>
        <c:delete val="1"/>
      </c:legendEntry>
      <c:layout>
        <c:manualLayout>
          <c:xMode val="edge"/>
          <c:yMode val="edge"/>
          <c:x val="0.22629068241469819"/>
          <c:y val="0.64275080198308543"/>
          <c:w val="0.64870931758530181"/>
          <c:h val="0.17283172936716243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actual</c:v>
          </c:tx>
          <c:marker>
            <c:symbol val="none"/>
          </c:marker>
          <c:val>
            <c:numRef>
              <c:f>'2001recession'!$T$5:$T$54</c:f>
              <c:numCache>
                <c:formatCode>0.0</c:formatCode>
                <c:ptCount val="50"/>
                <c:pt idx="0">
                  <c:v>4.2</c:v>
                </c:pt>
                <c:pt idx="1">
                  <c:v>4.3</c:v>
                </c:pt>
                <c:pt idx="2">
                  <c:v>4.4000000000000004</c:v>
                </c:pt>
                <c:pt idx="3">
                  <c:v>4.3</c:v>
                </c:pt>
                <c:pt idx="4">
                  <c:v>4.5</c:v>
                </c:pt>
                <c:pt idx="5">
                  <c:v>4.5999999999999996</c:v>
                </c:pt>
                <c:pt idx="6">
                  <c:v>4.9000000000000004</c:v>
                </c:pt>
                <c:pt idx="7">
                  <c:v>5</c:v>
                </c:pt>
                <c:pt idx="8">
                  <c:v>5.3</c:v>
                </c:pt>
                <c:pt idx="9">
                  <c:v>5.5</c:v>
                </c:pt>
                <c:pt idx="10">
                  <c:v>5.7</c:v>
                </c:pt>
                <c:pt idx="11">
                  <c:v>5.7</c:v>
                </c:pt>
                <c:pt idx="12">
                  <c:v>5.7</c:v>
                </c:pt>
                <c:pt idx="13">
                  <c:v>5.7</c:v>
                </c:pt>
                <c:pt idx="14">
                  <c:v>5.9</c:v>
                </c:pt>
                <c:pt idx="15">
                  <c:v>5.8</c:v>
                </c:pt>
                <c:pt idx="16">
                  <c:v>5.8</c:v>
                </c:pt>
                <c:pt idx="17">
                  <c:v>5.8</c:v>
                </c:pt>
                <c:pt idx="18">
                  <c:v>5.7</c:v>
                </c:pt>
                <c:pt idx="19">
                  <c:v>5.7</c:v>
                </c:pt>
                <c:pt idx="20">
                  <c:v>5.7</c:v>
                </c:pt>
                <c:pt idx="21">
                  <c:v>5.9</c:v>
                </c:pt>
                <c:pt idx="22">
                  <c:v>6</c:v>
                </c:pt>
                <c:pt idx="23">
                  <c:v>5.8</c:v>
                </c:pt>
                <c:pt idx="24">
                  <c:v>5.9</c:v>
                </c:pt>
                <c:pt idx="25">
                  <c:v>5.9</c:v>
                </c:pt>
                <c:pt idx="26">
                  <c:v>6</c:v>
                </c:pt>
                <c:pt idx="27">
                  <c:v>6.1</c:v>
                </c:pt>
                <c:pt idx="28">
                  <c:v>6.3</c:v>
                </c:pt>
                <c:pt idx="29">
                  <c:v>6.2</c:v>
                </c:pt>
                <c:pt idx="30">
                  <c:v>6.1</c:v>
                </c:pt>
                <c:pt idx="31">
                  <c:v>6.1</c:v>
                </c:pt>
                <c:pt idx="32">
                  <c:v>6</c:v>
                </c:pt>
                <c:pt idx="33">
                  <c:v>5.8</c:v>
                </c:pt>
                <c:pt idx="34">
                  <c:v>5.7</c:v>
                </c:pt>
                <c:pt idx="35">
                  <c:v>5.7</c:v>
                </c:pt>
                <c:pt idx="36">
                  <c:v>5.6</c:v>
                </c:pt>
                <c:pt idx="37">
                  <c:v>5.8</c:v>
                </c:pt>
                <c:pt idx="38">
                  <c:v>5.6</c:v>
                </c:pt>
                <c:pt idx="39">
                  <c:v>5.6</c:v>
                </c:pt>
                <c:pt idx="40">
                  <c:v>5.6</c:v>
                </c:pt>
                <c:pt idx="41">
                  <c:v>5.5</c:v>
                </c:pt>
                <c:pt idx="42">
                  <c:v>5.4</c:v>
                </c:pt>
                <c:pt idx="43">
                  <c:v>5.4</c:v>
                </c:pt>
                <c:pt idx="44">
                  <c:v>5.5</c:v>
                </c:pt>
                <c:pt idx="45">
                  <c:v>5.4</c:v>
                </c:pt>
                <c:pt idx="46">
                  <c:v>5.4</c:v>
                </c:pt>
                <c:pt idx="47">
                  <c:v>5.3</c:v>
                </c:pt>
                <c:pt idx="48">
                  <c:v>5.4</c:v>
                </c:pt>
                <c:pt idx="49">
                  <c:v>5.2</c:v>
                </c:pt>
              </c:numCache>
            </c:numRef>
          </c:val>
          <c:smooth val="0"/>
        </c:ser>
        <c:ser>
          <c:idx val="1"/>
          <c:order val="1"/>
          <c:tx>
            <c:v>net of mp</c:v>
          </c:tx>
          <c:marker>
            <c:symbol val="none"/>
          </c:marker>
          <c:val>
            <c:numRef>
              <c:f>'2001recession'!$U$5:$U$54</c:f>
              <c:numCache>
                <c:formatCode>0.0</c:formatCode>
                <c:ptCount val="50"/>
                <c:pt idx="0">
                  <c:v>4.2</c:v>
                </c:pt>
                <c:pt idx="1">
                  <c:v>4.3</c:v>
                </c:pt>
                <c:pt idx="2">
                  <c:v>4.3849687525773353</c:v>
                </c:pt>
                <c:pt idx="3">
                  <c:v>4.3158908053633178</c:v>
                </c:pt>
                <c:pt idx="4">
                  <c:v>4.4693486846414148</c:v>
                </c:pt>
                <c:pt idx="5">
                  <c:v>4.6460356049800273</c:v>
                </c:pt>
                <c:pt idx="6">
                  <c:v>4.9476872489895154</c:v>
                </c:pt>
                <c:pt idx="7">
                  <c:v>5.0204062641337011</c:v>
                </c:pt>
                <c:pt idx="8">
                  <c:v>5.3803176445188967</c:v>
                </c:pt>
                <c:pt idx="9">
                  <c:v>5.497031888740433</c:v>
                </c:pt>
                <c:pt idx="10">
                  <c:v>5.6762400057613842</c:v>
                </c:pt>
                <c:pt idx="11">
                  <c:v>5.6348313427092487</c:v>
                </c:pt>
                <c:pt idx="12">
                  <c:v>5.6134772309572494</c:v>
                </c:pt>
                <c:pt idx="13">
                  <c:v>5.6886146714432426</c:v>
                </c:pt>
                <c:pt idx="14">
                  <c:v>5.7928544924321326</c:v>
                </c:pt>
                <c:pt idx="15">
                  <c:v>5.7620956572426278</c:v>
                </c:pt>
                <c:pt idx="16">
                  <c:v>5.7137371411572122</c:v>
                </c:pt>
                <c:pt idx="17">
                  <c:v>5.7410655227898211</c:v>
                </c:pt>
                <c:pt idx="18">
                  <c:v>5.6926817598847563</c:v>
                </c:pt>
                <c:pt idx="19">
                  <c:v>5.6591169142870426</c:v>
                </c:pt>
                <c:pt idx="20">
                  <c:v>5.6490745974303929</c:v>
                </c:pt>
                <c:pt idx="21">
                  <c:v>5.8815929153407698</c:v>
                </c:pt>
                <c:pt idx="22">
                  <c:v>5.9265290025959052</c:v>
                </c:pt>
                <c:pt idx="23">
                  <c:v>5.7647796166135912</c:v>
                </c:pt>
                <c:pt idx="24">
                  <c:v>5.7946320456535085</c:v>
                </c:pt>
                <c:pt idx="25">
                  <c:v>5.8159684912605201</c:v>
                </c:pt>
                <c:pt idx="26">
                  <c:v>5.8637580030503589</c:v>
                </c:pt>
                <c:pt idx="27">
                  <c:v>5.9041517337868603</c:v>
                </c:pt>
                <c:pt idx="28">
                  <c:v>6.1631698705150315</c:v>
                </c:pt>
                <c:pt idx="29">
                  <c:v>5.9898479631130863</c:v>
                </c:pt>
                <c:pt idx="30">
                  <c:v>5.8958143162011369</c:v>
                </c:pt>
                <c:pt idx="31">
                  <c:v>5.8758678661849952</c:v>
                </c:pt>
                <c:pt idx="32">
                  <c:v>5.6613975533349246</c:v>
                </c:pt>
                <c:pt idx="33">
                  <c:v>5.4683890904244485</c:v>
                </c:pt>
                <c:pt idx="34">
                  <c:v>5.4231650150942627</c:v>
                </c:pt>
                <c:pt idx="35">
                  <c:v>5.4002413669306915</c:v>
                </c:pt>
                <c:pt idx="36">
                  <c:v>5.2521076523237573</c:v>
                </c:pt>
                <c:pt idx="37">
                  <c:v>5.4544251193485449</c:v>
                </c:pt>
                <c:pt idx="38">
                  <c:v>5.2191353085249768</c:v>
                </c:pt>
                <c:pt idx="39">
                  <c:v>5.2027261789460866</c:v>
                </c:pt>
                <c:pt idx="40">
                  <c:v>5.2363053798896759</c:v>
                </c:pt>
                <c:pt idx="41">
                  <c:v>5.1610108255897735</c:v>
                </c:pt>
                <c:pt idx="42">
                  <c:v>5.0487849454534546</c:v>
                </c:pt>
                <c:pt idx="43">
                  <c:v>4.940048528167396</c:v>
                </c:pt>
                <c:pt idx="44">
                  <c:v>5.0776595436115102</c:v>
                </c:pt>
                <c:pt idx="45">
                  <c:v>4.9259664006882655</c:v>
                </c:pt>
                <c:pt idx="46">
                  <c:v>4.9102694322148617</c:v>
                </c:pt>
                <c:pt idx="47">
                  <c:v>4.7123500047983296</c:v>
                </c:pt>
                <c:pt idx="48">
                  <c:v>4.782701848940424</c:v>
                </c:pt>
                <c:pt idx="49">
                  <c:v>4.581665186004475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3184240"/>
        <c:axId val="443184800"/>
      </c:lineChart>
      <c:catAx>
        <c:axId val="443184240"/>
        <c:scaling>
          <c:orientation val="minMax"/>
        </c:scaling>
        <c:delete val="0"/>
        <c:axPos val="b"/>
        <c:majorTickMark val="out"/>
        <c:minorTickMark val="none"/>
        <c:tickLblPos val="nextTo"/>
        <c:crossAx val="443184800"/>
        <c:crosses val="autoZero"/>
        <c:auto val="1"/>
        <c:lblAlgn val="ctr"/>
        <c:lblOffset val="100"/>
        <c:noMultiLvlLbl val="0"/>
      </c:catAx>
      <c:valAx>
        <c:axId val="443184800"/>
        <c:scaling>
          <c:orientation val="minMax"/>
          <c:min val="4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4431842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'2007recession'!$T$5:$T$58</c:f>
              <c:numCache>
                <c:formatCode>0.0</c:formatCode>
                <c:ptCount val="54"/>
                <c:pt idx="0">
                  <c:v>4.7</c:v>
                </c:pt>
                <c:pt idx="1">
                  <c:v>5</c:v>
                </c:pt>
                <c:pt idx="2">
                  <c:v>5</c:v>
                </c:pt>
                <c:pt idx="3">
                  <c:v>4.9000000000000004</c:v>
                </c:pt>
                <c:pt idx="4">
                  <c:v>5.0999999999999996</c:v>
                </c:pt>
                <c:pt idx="5">
                  <c:v>5</c:v>
                </c:pt>
                <c:pt idx="6">
                  <c:v>5.4</c:v>
                </c:pt>
                <c:pt idx="7">
                  <c:v>5.6</c:v>
                </c:pt>
                <c:pt idx="8">
                  <c:v>5.8</c:v>
                </c:pt>
                <c:pt idx="9">
                  <c:v>6.1</c:v>
                </c:pt>
                <c:pt idx="10">
                  <c:v>6.1</c:v>
                </c:pt>
                <c:pt idx="11">
                  <c:v>6.5</c:v>
                </c:pt>
                <c:pt idx="12">
                  <c:v>6.8</c:v>
                </c:pt>
                <c:pt idx="13">
                  <c:v>7.3</c:v>
                </c:pt>
                <c:pt idx="14">
                  <c:v>7.8</c:v>
                </c:pt>
                <c:pt idx="15">
                  <c:v>8.3000000000000007</c:v>
                </c:pt>
                <c:pt idx="16">
                  <c:v>8.6999999999999993</c:v>
                </c:pt>
                <c:pt idx="17">
                  <c:v>9</c:v>
                </c:pt>
                <c:pt idx="18">
                  <c:v>9.4</c:v>
                </c:pt>
                <c:pt idx="19">
                  <c:v>9.5</c:v>
                </c:pt>
                <c:pt idx="20">
                  <c:v>9.5</c:v>
                </c:pt>
                <c:pt idx="21">
                  <c:v>9.6</c:v>
                </c:pt>
                <c:pt idx="22">
                  <c:v>9.8000000000000007</c:v>
                </c:pt>
                <c:pt idx="23">
                  <c:v>10</c:v>
                </c:pt>
                <c:pt idx="24">
                  <c:v>9.9</c:v>
                </c:pt>
                <c:pt idx="25">
                  <c:v>9.9</c:v>
                </c:pt>
                <c:pt idx="26">
                  <c:v>9.8000000000000007</c:v>
                </c:pt>
                <c:pt idx="27">
                  <c:v>9.8000000000000007</c:v>
                </c:pt>
                <c:pt idx="28">
                  <c:v>9.9</c:v>
                </c:pt>
                <c:pt idx="29">
                  <c:v>9.9</c:v>
                </c:pt>
                <c:pt idx="30">
                  <c:v>9.6</c:v>
                </c:pt>
                <c:pt idx="31">
                  <c:v>9.4</c:v>
                </c:pt>
                <c:pt idx="32">
                  <c:v>9.5</c:v>
                </c:pt>
                <c:pt idx="33">
                  <c:v>9.5</c:v>
                </c:pt>
                <c:pt idx="34">
                  <c:v>9.5</c:v>
                </c:pt>
                <c:pt idx="35">
                  <c:v>9.5</c:v>
                </c:pt>
                <c:pt idx="36">
                  <c:v>9.8000000000000007</c:v>
                </c:pt>
                <c:pt idx="37">
                  <c:v>9.3000000000000007</c:v>
                </c:pt>
                <c:pt idx="38">
                  <c:v>9.1</c:v>
                </c:pt>
                <c:pt idx="39">
                  <c:v>9</c:v>
                </c:pt>
                <c:pt idx="40">
                  <c:v>8.9</c:v>
                </c:pt>
                <c:pt idx="41">
                  <c:v>9</c:v>
                </c:pt>
                <c:pt idx="42">
                  <c:v>9</c:v>
                </c:pt>
                <c:pt idx="43">
                  <c:v>9.1</c:v>
                </c:pt>
                <c:pt idx="44">
                  <c:v>9</c:v>
                </c:pt>
                <c:pt idx="45">
                  <c:v>9</c:v>
                </c:pt>
                <c:pt idx="46">
                  <c:v>9</c:v>
                </c:pt>
                <c:pt idx="47">
                  <c:v>8.9</c:v>
                </c:pt>
                <c:pt idx="48">
                  <c:v>8.6</c:v>
                </c:pt>
                <c:pt idx="49">
                  <c:v>8.5</c:v>
                </c:pt>
                <c:pt idx="50">
                  <c:v>8.3000000000000007</c:v>
                </c:pt>
                <c:pt idx="51">
                  <c:v>8.3000000000000007</c:v>
                </c:pt>
                <c:pt idx="52">
                  <c:v>8.1999999999999993</c:v>
                </c:pt>
                <c:pt idx="53">
                  <c:v>8.1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val>
            <c:numRef>
              <c:f>'2007recession'!$U$5:$U$58</c:f>
              <c:numCache>
                <c:formatCode>0.0</c:formatCode>
                <c:ptCount val="54"/>
                <c:pt idx="0">
                  <c:v>4.7</c:v>
                </c:pt>
                <c:pt idx="1">
                  <c:v>5</c:v>
                </c:pt>
                <c:pt idx="2">
                  <c:v>5.0054985860185308</c:v>
                </c:pt>
                <c:pt idx="3">
                  <c:v>4.8808412361097142</c:v>
                </c:pt>
                <c:pt idx="4">
                  <c:v>5.0809803080814486</c:v>
                </c:pt>
                <c:pt idx="5">
                  <c:v>5.0008024509772175</c:v>
                </c:pt>
                <c:pt idx="6">
                  <c:v>5.3721218859464326</c:v>
                </c:pt>
                <c:pt idx="7">
                  <c:v>5.5880598934336065</c:v>
                </c:pt>
                <c:pt idx="8">
                  <c:v>5.8110373647846485</c:v>
                </c:pt>
                <c:pt idx="9">
                  <c:v>6.095489148407645</c:v>
                </c:pt>
                <c:pt idx="10">
                  <c:v>6.1006930521838214</c:v>
                </c:pt>
                <c:pt idx="11">
                  <c:v>6.4755218565496522</c:v>
                </c:pt>
                <c:pt idx="12">
                  <c:v>6.7902886601574197</c:v>
                </c:pt>
                <c:pt idx="13">
                  <c:v>7.3609774416504807</c:v>
                </c:pt>
                <c:pt idx="14">
                  <c:v>7.8423577722409128</c:v>
                </c:pt>
                <c:pt idx="15">
                  <c:v>8.385196388572794</c:v>
                </c:pt>
                <c:pt idx="16">
                  <c:v>8.8201616313657283</c:v>
                </c:pt>
                <c:pt idx="17">
                  <c:v>9.1680509624037008</c:v>
                </c:pt>
                <c:pt idx="18">
                  <c:v>9.6087149885401111</c:v>
                </c:pt>
                <c:pt idx="19">
                  <c:v>9.6677597105865534</c:v>
                </c:pt>
                <c:pt idx="20">
                  <c:v>9.6575378177518587</c:v>
                </c:pt>
                <c:pt idx="21">
                  <c:v>9.7406045802913095</c:v>
                </c:pt>
                <c:pt idx="22">
                  <c:v>9.9262321921272818</c:v>
                </c:pt>
                <c:pt idx="23">
                  <c:v>10.146365595658985</c:v>
                </c:pt>
                <c:pt idx="24">
                  <c:v>10.013615879144924</c:v>
                </c:pt>
                <c:pt idx="25">
                  <c:v>9.9817978241059659</c:v>
                </c:pt>
                <c:pt idx="26">
                  <c:v>9.7982443125222147</c:v>
                </c:pt>
                <c:pt idx="27">
                  <c:v>9.7761006084778881</c:v>
                </c:pt>
                <c:pt idx="28">
                  <c:v>9.9001673750342345</c:v>
                </c:pt>
                <c:pt idx="29">
                  <c:v>9.8937546532812011</c:v>
                </c:pt>
                <c:pt idx="30">
                  <c:v>9.5863906652842683</c:v>
                </c:pt>
                <c:pt idx="31">
                  <c:v>9.3363850594141358</c:v>
                </c:pt>
                <c:pt idx="32">
                  <c:v>9.2683334273435403</c:v>
                </c:pt>
                <c:pt idx="33">
                  <c:v>9.2452356054909757</c:v>
                </c:pt>
                <c:pt idx="34">
                  <c:v>9.1699371623429933</c:v>
                </c:pt>
                <c:pt idx="35">
                  <c:v>9.1442206585931203</c:v>
                </c:pt>
                <c:pt idx="36">
                  <c:v>9.3756766345826197</c:v>
                </c:pt>
                <c:pt idx="37">
                  <c:v>8.7139253936016168</c:v>
                </c:pt>
                <c:pt idx="38">
                  <c:v>8.3405883746975835</c:v>
                </c:pt>
                <c:pt idx="39">
                  <c:v>8.1214312980220633</c:v>
                </c:pt>
                <c:pt idx="40">
                  <c:v>7.9155052045530629</c:v>
                </c:pt>
                <c:pt idx="41">
                  <c:v>7.9266597146387987</c:v>
                </c:pt>
                <c:pt idx="42">
                  <c:v>7.8221217372430996</c:v>
                </c:pt>
                <c:pt idx="43">
                  <c:v>7.7278792402771401</c:v>
                </c:pt>
                <c:pt idx="44">
                  <c:v>7.5950069571852161</c:v>
                </c:pt>
                <c:pt idx="45">
                  <c:v>7.4939141507328992</c:v>
                </c:pt>
                <c:pt idx="46">
                  <c:v>7.4385457632124243</c:v>
                </c:pt>
                <c:pt idx="47">
                  <c:v>7.2597726377003511</c:v>
                </c:pt>
                <c:pt idx="48">
                  <c:v>6.9298713504532685</c:v>
                </c:pt>
                <c:pt idx="49">
                  <c:v>6.8592288589553041</c:v>
                </c:pt>
                <c:pt idx="50">
                  <c:v>6.7350707766947426</c:v>
                </c:pt>
                <c:pt idx="51">
                  <c:v>6.7416383460024853</c:v>
                </c:pt>
                <c:pt idx="52">
                  <c:v>6.6849047900803704</c:v>
                </c:pt>
                <c:pt idx="53">
                  <c:v>6.6208450619249284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3188160"/>
        <c:axId val="443188720"/>
      </c:lineChart>
      <c:catAx>
        <c:axId val="443188160"/>
        <c:scaling>
          <c:orientation val="minMax"/>
        </c:scaling>
        <c:delete val="0"/>
        <c:axPos val="b"/>
        <c:majorTickMark val="out"/>
        <c:minorTickMark val="none"/>
        <c:tickLblPos val="nextTo"/>
        <c:crossAx val="443188720"/>
        <c:crosses val="autoZero"/>
        <c:auto val="1"/>
        <c:lblAlgn val="ctr"/>
        <c:lblOffset val="100"/>
        <c:noMultiLvlLbl val="0"/>
      </c:catAx>
      <c:valAx>
        <c:axId val="443188720"/>
        <c:scaling>
          <c:orientation val="minMax"/>
          <c:min val="4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4431881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791776027996496E-2"/>
          <c:y val="5.1400554097404488E-2"/>
          <c:w val="0.88008902012248469"/>
          <c:h val="0.8272798191892679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1"/>
            <c:trendlineLbl>
              <c:numFmt formatCode="General" sourceLinked="0"/>
            </c:trendlineLbl>
          </c:trendline>
          <c:xVal>
            <c:numRef>
              <c:f>FiscalPolicy!$AF$21:$AF$278</c:f>
              <c:numCache>
                <c:formatCode>0.0</c:formatCode>
                <c:ptCount val="258"/>
                <c:pt idx="0">
                  <c:v>-1.4836636314943761</c:v>
                </c:pt>
                <c:pt idx="1">
                  <c:v>-0.36068530207394051</c:v>
                </c:pt>
                <c:pt idx="2">
                  <c:v>1.1555228741005303</c:v>
                </c:pt>
                <c:pt idx="3">
                  <c:v>-0.94128659836704986</c:v>
                </c:pt>
                <c:pt idx="4">
                  <c:v>4.1081081081081079</c:v>
                </c:pt>
                <c:pt idx="5">
                  <c:v>3.209536909674461</c:v>
                </c:pt>
                <c:pt idx="6">
                  <c:v>4.1681366866589391</c:v>
                </c:pt>
                <c:pt idx="7">
                  <c:v>2.1435692921236291</c:v>
                </c:pt>
                <c:pt idx="8">
                  <c:v>1.5326992262579469</c:v>
                </c:pt>
                <c:pt idx="9">
                  <c:v>1.9479887016655302</c:v>
                </c:pt>
                <c:pt idx="10">
                  <c:v>2.319203194918924</c:v>
                </c:pt>
                <c:pt idx="11">
                  <c:v>0.25197299610154988</c:v>
                </c:pt>
                <c:pt idx="12">
                  <c:v>1.1886863371546701</c:v>
                </c:pt>
                <c:pt idx="13">
                  <c:v>0.23686777204960288</c:v>
                </c:pt>
                <c:pt idx="14">
                  <c:v>0.80374776098838008</c:v>
                </c:pt>
                <c:pt idx="15">
                  <c:v>3.643963832977418</c:v>
                </c:pt>
                <c:pt idx="16">
                  <c:v>2.1140698092839152</c:v>
                </c:pt>
                <c:pt idx="17">
                  <c:v>0.89552238805970164</c:v>
                </c:pt>
                <c:pt idx="18">
                  <c:v>-0.64459161147902866</c:v>
                </c:pt>
                <c:pt idx="19">
                  <c:v>-1.7113095238095237</c:v>
                </c:pt>
                <c:pt idx="20">
                  <c:v>-0.50783454142974949</c:v>
                </c:pt>
                <c:pt idx="21">
                  <c:v>0.11627906976744186</c:v>
                </c:pt>
                <c:pt idx="22">
                  <c:v>1.2224311848179177</c:v>
                </c:pt>
                <c:pt idx="23">
                  <c:v>2.1170081880276612</c:v>
                </c:pt>
                <c:pt idx="24">
                  <c:v>3.1327634847783066</c:v>
                </c:pt>
                <c:pt idx="25">
                  <c:v>1.8219046425138943</c:v>
                </c:pt>
                <c:pt idx="26">
                  <c:v>1.5216850485114852</c:v>
                </c:pt>
                <c:pt idx="27">
                  <c:v>0.68287465547739523</c:v>
                </c:pt>
                <c:pt idx="28">
                  <c:v>-0.43652088772845954</c:v>
                </c:pt>
                <c:pt idx="29">
                  <c:v>0.92233009708737868</c:v>
                </c:pt>
                <c:pt idx="30">
                  <c:v>-9.2247222556451278E-2</c:v>
                </c:pt>
                <c:pt idx="31">
                  <c:v>1.8129770992366414</c:v>
                </c:pt>
                <c:pt idx="32">
                  <c:v>0.72123911244235994</c:v>
                </c:pt>
                <c:pt idx="33">
                  <c:v>-0.24605530385877206</c:v>
                </c:pt>
                <c:pt idx="34">
                  <c:v>1.0720229111033708</c:v>
                </c:pt>
                <c:pt idx="35">
                  <c:v>-1.1313084828961497</c:v>
                </c:pt>
                <c:pt idx="36">
                  <c:v>-2.8005775953792371</c:v>
                </c:pt>
                <c:pt idx="37">
                  <c:v>0.68926553672316382</c:v>
                </c:pt>
                <c:pt idx="38">
                  <c:v>2.404330782154191</c:v>
                </c:pt>
                <c:pt idx="39">
                  <c:v>2.4722427831236122</c:v>
                </c:pt>
                <c:pt idx="40">
                  <c:v>1.9925143108762662</c:v>
                </c:pt>
                <c:pt idx="41">
                  <c:v>2.6300472899236085</c:v>
                </c:pt>
                <c:pt idx="42">
                  <c:v>-0.2127506130102409</c:v>
                </c:pt>
                <c:pt idx="43">
                  <c:v>0.42887776983559683</c:v>
                </c:pt>
                <c:pt idx="44">
                  <c:v>2.4077614899794635</c:v>
                </c:pt>
                <c:pt idx="45">
                  <c:v>-0.41386083052749723</c:v>
                </c:pt>
                <c:pt idx="46">
                  <c:v>0.26748184944593045</c:v>
                </c:pt>
                <c:pt idx="47">
                  <c:v>-1.2970034747307946</c:v>
                </c:pt>
                <c:pt idx="48">
                  <c:v>0.71214392803598192</c:v>
                </c:pt>
                <c:pt idx="49">
                  <c:v>1.944041310877856</c:v>
                </c:pt>
                <c:pt idx="50">
                  <c:v>1.7617758165346169</c:v>
                </c:pt>
                <c:pt idx="51">
                  <c:v>2.152389151958674</c:v>
                </c:pt>
                <c:pt idx="52">
                  <c:v>1.9352510906287927</c:v>
                </c:pt>
                <c:pt idx="53">
                  <c:v>1.1663417803768681</c:v>
                </c:pt>
                <c:pt idx="54">
                  <c:v>1.0329182353509025</c:v>
                </c:pt>
                <c:pt idx="55">
                  <c:v>0.42069031456162159</c:v>
                </c:pt>
                <c:pt idx="56">
                  <c:v>1.1993435172326725</c:v>
                </c:pt>
                <c:pt idx="57">
                  <c:v>1.4065137213227479</c:v>
                </c:pt>
                <c:pt idx="58">
                  <c:v>2.1140929210387842</c:v>
                </c:pt>
                <c:pt idx="59">
                  <c:v>0.77854406130268194</c:v>
                </c:pt>
                <c:pt idx="60">
                  <c:v>2.3584762482926087</c:v>
                </c:pt>
                <c:pt idx="61">
                  <c:v>1.3135746062282072</c:v>
                </c:pt>
                <c:pt idx="62">
                  <c:v>1.5001785926896058</c:v>
                </c:pt>
                <c:pt idx="63">
                  <c:v>0.3919834954317713</c:v>
                </c:pt>
                <c:pt idx="64">
                  <c:v>2.7193417559011466</c:v>
                </c:pt>
                <c:pt idx="65">
                  <c:v>1.5278860872830198</c:v>
                </c:pt>
                <c:pt idx="66">
                  <c:v>2.2783796918327091</c:v>
                </c:pt>
                <c:pt idx="67">
                  <c:v>2.6676850830292227</c:v>
                </c:pt>
                <c:pt idx="68">
                  <c:v>2.8325915973913287</c:v>
                </c:pt>
                <c:pt idx="69">
                  <c:v>0.47617729298745881</c:v>
                </c:pt>
                <c:pt idx="70">
                  <c:v>0.82411564998357245</c:v>
                </c:pt>
                <c:pt idx="71">
                  <c:v>0.98559514783927227</c:v>
                </c:pt>
                <c:pt idx="72">
                  <c:v>1.0523778920308482</c:v>
                </c:pt>
                <c:pt idx="73">
                  <c:v>0.10065158658685172</c:v>
                </c:pt>
                <c:pt idx="74">
                  <c:v>0.97736086364112762</c:v>
                </c:pt>
                <c:pt idx="75">
                  <c:v>0.90996292743628959</c:v>
                </c:pt>
                <c:pt idx="76">
                  <c:v>2.2914474865925945</c:v>
                </c:pt>
                <c:pt idx="77">
                  <c:v>1.9254705717987148</c:v>
                </c:pt>
                <c:pt idx="78">
                  <c:v>0.82490820381268537</c:v>
                </c:pt>
                <c:pt idx="79">
                  <c:v>0.50801872696483708</c:v>
                </c:pt>
                <c:pt idx="80">
                  <c:v>1.768013019677467</c:v>
                </c:pt>
                <c:pt idx="81">
                  <c:v>0.36624670377966601</c:v>
                </c:pt>
                <c:pt idx="82">
                  <c:v>0.7108832845709312</c:v>
                </c:pt>
                <c:pt idx="83">
                  <c:v>-0.49093565150753171</c:v>
                </c:pt>
                <c:pt idx="84">
                  <c:v>-0.19452945223353019</c:v>
                </c:pt>
                <c:pt idx="85">
                  <c:v>0.19510131164496267</c:v>
                </c:pt>
                <c:pt idx="86">
                  <c:v>0.9714165909567406</c:v>
                </c:pt>
                <c:pt idx="87">
                  <c:v>-1.1291477128408802</c:v>
                </c:pt>
                <c:pt idx="88">
                  <c:v>2.8846153846153846</c:v>
                </c:pt>
                <c:pt idx="89">
                  <c:v>0.62431892480929896</c:v>
                </c:pt>
                <c:pt idx="90">
                  <c:v>0.85329610951008639</c:v>
                </c:pt>
                <c:pt idx="91">
                  <c:v>0.31706336801679091</c:v>
                </c:pt>
                <c:pt idx="92">
                  <c:v>1.9373837569745818</c:v>
                </c:pt>
                <c:pt idx="93">
                  <c:v>2.5403447140191018</c:v>
                </c:pt>
                <c:pt idx="94">
                  <c:v>1.0253842469630341</c:v>
                </c:pt>
                <c:pt idx="95">
                  <c:v>1.8496935163601831</c:v>
                </c:pt>
                <c:pt idx="96">
                  <c:v>2.7640502321203169</c:v>
                </c:pt>
                <c:pt idx="97">
                  <c:v>1.2910474656038666</c:v>
                </c:pt>
                <c:pt idx="98">
                  <c:v>-0.61961772736819998</c:v>
                </c:pt>
                <c:pt idx="99">
                  <c:v>1.0487546039078595</c:v>
                </c:pt>
                <c:pt idx="100">
                  <c:v>-0.93373183551478922</c:v>
                </c:pt>
                <c:pt idx="101">
                  <c:v>0.2898964947022436</c:v>
                </c:pt>
                <c:pt idx="102">
                  <c:v>-1.0636146722206496</c:v>
                </c:pt>
                <c:pt idx="103">
                  <c:v>-0.42866872320820482</c:v>
                </c:pt>
                <c:pt idx="104">
                  <c:v>-1.284290761840486</c:v>
                </c:pt>
                <c:pt idx="105">
                  <c:v>0.80091308026841423</c:v>
                </c:pt>
                <c:pt idx="106">
                  <c:v>1.7191250219525045</c:v>
                </c:pt>
                <c:pt idx="107">
                  <c:v>1.412757392785261</c:v>
                </c:pt>
                <c:pt idx="108">
                  <c:v>2.378758207579772</c:v>
                </c:pt>
                <c:pt idx="109">
                  <c:v>0.8076344311320216</c:v>
                </c:pt>
                <c:pt idx="110">
                  <c:v>0.54426911083813667</c:v>
                </c:pt>
                <c:pt idx="111">
                  <c:v>0.7986950897125823</c:v>
                </c:pt>
                <c:pt idx="112">
                  <c:v>1.2402841310573096</c:v>
                </c:pt>
                <c:pt idx="113">
                  <c:v>2.096741475648662</c:v>
                </c:pt>
                <c:pt idx="114">
                  <c:v>1.9108396723229959</c:v>
                </c:pt>
                <c:pt idx="115">
                  <c:v>1.0877447425670777E-2</c:v>
                </c:pt>
                <c:pt idx="116">
                  <c:v>0.37558854185386187</c:v>
                </c:pt>
                <c:pt idx="117">
                  <c:v>4.1767554479418889</c:v>
                </c:pt>
                <c:pt idx="118">
                  <c:v>1.0812240938354352</c:v>
                </c:pt>
                <c:pt idx="119">
                  <c:v>1.4819734013736214</c:v>
                </c:pt>
                <c:pt idx="120">
                  <c:v>0.22167956911033754</c:v>
                </c:pt>
                <c:pt idx="121">
                  <c:v>0.13393547057712452</c:v>
                </c:pt>
                <c:pt idx="122">
                  <c:v>0.7869321569095028</c:v>
                </c:pt>
                <c:pt idx="123">
                  <c:v>0.28232350554503655</c:v>
                </c:pt>
                <c:pt idx="124">
                  <c:v>0.35438360765871685</c:v>
                </c:pt>
                <c:pt idx="125">
                  <c:v>-2.2082282392637009</c:v>
                </c:pt>
                <c:pt idx="126">
                  <c:v>-0.16119651017864559</c:v>
                </c:pt>
                <c:pt idx="127">
                  <c:v>1.9528085057129156</c:v>
                </c:pt>
                <c:pt idx="128">
                  <c:v>2.2123893805309738</c:v>
                </c:pt>
                <c:pt idx="129">
                  <c:v>-0.79147043432757724</c:v>
                </c:pt>
                <c:pt idx="130">
                  <c:v>1.2270237766329166</c:v>
                </c:pt>
                <c:pt idx="131">
                  <c:v>-1.2545815639481375</c:v>
                </c:pt>
                <c:pt idx="132">
                  <c:v>-1.7631313212264983</c:v>
                </c:pt>
                <c:pt idx="133">
                  <c:v>0.56160112002036389</c:v>
                </c:pt>
                <c:pt idx="134">
                  <c:v>-0.37104872580288628</c:v>
                </c:pt>
                <c:pt idx="135">
                  <c:v>0.10028832894571893</c:v>
                </c:pt>
                <c:pt idx="136">
                  <c:v>1.320907365342129</c:v>
                </c:pt>
                <c:pt idx="137">
                  <c:v>2.3174612983963168</c:v>
                </c:pt>
                <c:pt idx="138">
                  <c:v>2.01893131644754</c:v>
                </c:pt>
                <c:pt idx="139">
                  <c:v>2.152355709911804</c:v>
                </c:pt>
                <c:pt idx="140">
                  <c:v>2.1002494896801998</c:v>
                </c:pt>
                <c:pt idx="141">
                  <c:v>1.8800828256759594</c:v>
                </c:pt>
                <c:pt idx="142">
                  <c:v>1.0629270689116164</c:v>
                </c:pt>
                <c:pt idx="143">
                  <c:v>0.86391493760614335</c:v>
                </c:pt>
                <c:pt idx="144">
                  <c:v>1.0750483332356906</c:v>
                </c:pt>
                <c:pt idx="145">
                  <c:v>0.99349291192191502</c:v>
                </c:pt>
                <c:pt idx="146">
                  <c:v>1.6867122794382428</c:v>
                </c:pt>
                <c:pt idx="147">
                  <c:v>0.81995314553454091</c:v>
                </c:pt>
                <c:pt idx="148">
                  <c:v>1.0117326985206598</c:v>
                </c:pt>
                <c:pt idx="149">
                  <c:v>0.50186971068687281</c:v>
                </c:pt>
                <c:pt idx="150">
                  <c:v>1.0963260523893212</c:v>
                </c:pt>
                <c:pt idx="151">
                  <c:v>0.56608213035113697</c:v>
                </c:pt>
                <c:pt idx="152">
                  <c:v>0.76091584600381834</c:v>
                </c:pt>
                <c:pt idx="153">
                  <c:v>1.2227038521305309</c:v>
                </c:pt>
                <c:pt idx="154">
                  <c:v>0.99165279976189513</c:v>
                </c:pt>
                <c:pt idx="155">
                  <c:v>1.8046324269889225</c:v>
                </c:pt>
                <c:pt idx="156">
                  <c:v>0.62102696003305036</c:v>
                </c:pt>
                <c:pt idx="157">
                  <c:v>1.4563492063492063</c:v>
                </c:pt>
                <c:pt idx="158">
                  <c:v>0.6393845103522523</c:v>
                </c:pt>
                <c:pt idx="159">
                  <c:v>1.4647623019182652</c:v>
                </c:pt>
                <c:pt idx="160">
                  <c:v>1.1227670775718221</c:v>
                </c:pt>
                <c:pt idx="161">
                  <c:v>0.87686639021196278</c:v>
                </c:pt>
                <c:pt idx="162">
                  <c:v>0.83338642879898073</c:v>
                </c:pt>
                <c:pt idx="163">
                  <c:v>0.23526435618517585</c:v>
                </c:pt>
                <c:pt idx="164">
                  <c:v>1.2153627883033888</c:v>
                </c:pt>
                <c:pt idx="165">
                  <c:v>0.43124937680725894</c:v>
                </c:pt>
                <c:pt idx="166">
                  <c:v>2.7223342779008331E-2</c:v>
                </c:pt>
                <c:pt idx="167">
                  <c:v>-0.93993045743282266</c:v>
                </c:pt>
                <c:pt idx="168">
                  <c:v>-0.50882823081522344</c:v>
                </c:pt>
                <c:pt idx="169">
                  <c:v>0.83389896247454676</c:v>
                </c:pt>
                <c:pt idx="170">
                  <c:v>0.51535840287059453</c:v>
                </c:pt>
                <c:pt idx="171">
                  <c:v>0.46775370554246271</c:v>
                </c:pt>
                <c:pt idx="172">
                  <c:v>1.2646793134598011</c:v>
                </c:pt>
                <c:pt idx="173">
                  <c:v>1.1869050712143043</c:v>
                </c:pt>
                <c:pt idx="174">
                  <c:v>1.0513963858249238</c:v>
                </c:pt>
                <c:pt idx="175">
                  <c:v>1.0865763518082403</c:v>
                </c:pt>
                <c:pt idx="176">
                  <c:v>0.20267531414673692</c:v>
                </c:pt>
                <c:pt idx="177">
                  <c:v>0.64306092398306647</c:v>
                </c:pt>
                <c:pt idx="178">
                  <c:v>0.52785521685480552</c:v>
                </c:pt>
                <c:pt idx="179">
                  <c:v>1.4410202877501928</c:v>
                </c:pt>
                <c:pt idx="180">
                  <c:v>1.0647527407524253</c:v>
                </c:pt>
                <c:pt idx="181">
                  <c:v>1.4890475018459266</c:v>
                </c:pt>
                <c:pt idx="182">
                  <c:v>0.64645118293902037</c:v>
                </c:pt>
                <c:pt idx="183">
                  <c:v>1.2427497077828993</c:v>
                </c:pt>
                <c:pt idx="184">
                  <c:v>0.37547070671687532</c:v>
                </c:pt>
                <c:pt idx="185">
                  <c:v>0.3824756606397775</c:v>
                </c:pt>
                <c:pt idx="186">
                  <c:v>0.9339646042513724</c:v>
                </c:pt>
                <c:pt idx="187">
                  <c:v>0.7749365815021354</c:v>
                </c:pt>
                <c:pt idx="188">
                  <c:v>0.71485474533963567</c:v>
                </c:pt>
                <c:pt idx="189">
                  <c:v>1.902583508132095</c:v>
                </c:pt>
                <c:pt idx="190">
                  <c:v>1.0176759753163895</c:v>
                </c:pt>
                <c:pt idx="191">
                  <c:v>1.1643473117275303</c:v>
                </c:pt>
                <c:pt idx="192">
                  <c:v>0.84113207935674494</c:v>
                </c:pt>
                <c:pt idx="193">
                  <c:v>1.6657134686874464</c:v>
                </c:pt>
                <c:pt idx="194">
                  <c:v>1.4161694540960523</c:v>
                </c:pt>
                <c:pt idx="195">
                  <c:v>0.86601832502813048</c:v>
                </c:pt>
                <c:pt idx="196">
                  <c:v>1.1038605230386052</c:v>
                </c:pt>
                <c:pt idx="197">
                  <c:v>1.0836494389125968</c:v>
                </c:pt>
                <c:pt idx="198">
                  <c:v>1.4631996474217717</c:v>
                </c:pt>
                <c:pt idx="199">
                  <c:v>1.8428615814820568</c:v>
                </c:pt>
                <c:pt idx="200">
                  <c:v>1.0578394663637851</c:v>
                </c:pt>
                <c:pt idx="201">
                  <c:v>0.95322608347168936</c:v>
                </c:pt>
                <c:pt idx="202">
                  <c:v>1.4414618920606095</c:v>
                </c:pt>
                <c:pt idx="203">
                  <c:v>1.9659866496662417</c:v>
                </c:pt>
                <c:pt idx="204">
                  <c:v>0.3289473684210526</c:v>
                </c:pt>
                <c:pt idx="205">
                  <c:v>2.1501316782997848</c:v>
                </c:pt>
                <c:pt idx="206">
                  <c:v>0.14691255509220819</c:v>
                </c:pt>
                <c:pt idx="207">
                  <c:v>0.60767735226296515</c:v>
                </c:pt>
                <c:pt idx="208">
                  <c:v>-0.32532420394153122</c:v>
                </c:pt>
                <c:pt idx="209">
                  <c:v>0.59609473553293169</c:v>
                </c:pt>
                <c:pt idx="210">
                  <c:v>-0.340852042029611</c:v>
                </c:pt>
                <c:pt idx="211">
                  <c:v>0.27162995440809129</c:v>
                </c:pt>
                <c:pt idx="212">
                  <c:v>1.0345634298290458</c:v>
                </c:pt>
                <c:pt idx="213">
                  <c:v>0.60267377380389453</c:v>
                </c:pt>
                <c:pt idx="214">
                  <c:v>0.52902829448104027</c:v>
                </c:pt>
                <c:pt idx="215">
                  <c:v>5.251967370034985E-2</c:v>
                </c:pt>
                <c:pt idx="216">
                  <c:v>0.55264419639477469</c:v>
                </c:pt>
                <c:pt idx="217">
                  <c:v>1.0295063884548212</c:v>
                </c:pt>
                <c:pt idx="218">
                  <c:v>1.8450705394879972</c:v>
                </c:pt>
                <c:pt idx="219">
                  <c:v>1.2520220527549435</c:v>
                </c:pt>
                <c:pt idx="220">
                  <c:v>0.66381665859802585</c:v>
                </c:pt>
                <c:pt idx="221">
                  <c:v>0.84937296529891237</c:v>
                </c:pt>
                <c:pt idx="222">
                  <c:v>0.97612034760594923</c:v>
                </c:pt>
                <c:pt idx="223">
                  <c:v>0.94170620703011521</c:v>
                </c:pt>
                <c:pt idx="224">
                  <c:v>1.2236710130391173</c:v>
                </c:pt>
                <c:pt idx="225">
                  <c:v>0.61437313992547726</c:v>
                </c:pt>
                <c:pt idx="226">
                  <c:v>0.91793342007552925</c:v>
                </c:pt>
                <c:pt idx="227">
                  <c:v>0.6239794268224379</c:v>
                </c:pt>
                <c:pt idx="228">
                  <c:v>1.3678109534677616</c:v>
                </c:pt>
                <c:pt idx="229">
                  <c:v>0.35241466419248701</c:v>
                </c:pt>
                <c:pt idx="230">
                  <c:v>9.9206349206349215E-2</c:v>
                </c:pt>
                <c:pt idx="231">
                  <c:v>0.87828103452260808</c:v>
                </c:pt>
                <c:pt idx="232">
                  <c:v>7.4281688415119757E-2</c:v>
                </c:pt>
                <c:pt idx="233">
                  <c:v>0.86313850556777616</c:v>
                </c:pt>
                <c:pt idx="234">
                  <c:v>0.75656127768068571</c:v>
                </c:pt>
                <c:pt idx="235">
                  <c:v>0.41063437746775466</c:v>
                </c:pt>
                <c:pt idx="236">
                  <c:v>-0.75299290377094663</c:v>
                </c:pt>
                <c:pt idx="237">
                  <c:v>0.54871928324473029</c:v>
                </c:pt>
                <c:pt idx="238">
                  <c:v>-0.54794317954937033</c:v>
                </c:pt>
                <c:pt idx="239">
                  <c:v>-2.3576577902015594</c:v>
                </c:pt>
                <c:pt idx="240">
                  <c:v>-1.4824196016134581</c:v>
                </c:pt>
                <c:pt idx="241">
                  <c:v>-0.1107936322817657</c:v>
                </c:pt>
                <c:pt idx="242">
                  <c:v>0.3310392891366844</c:v>
                </c:pt>
                <c:pt idx="243">
                  <c:v>0.99584161996022402</c:v>
                </c:pt>
                <c:pt idx="244">
                  <c:v>0.41435468761259636</c:v>
                </c:pt>
                <c:pt idx="245">
                  <c:v>1.0074897491688031</c:v>
                </c:pt>
                <c:pt idx="246">
                  <c:v>0.72489695443095947</c:v>
                </c:pt>
                <c:pt idx="247">
                  <c:v>0.73515779866231223</c:v>
                </c:pt>
                <c:pt idx="248">
                  <c:v>-0.34377685756699744</c:v>
                </c:pt>
                <c:pt idx="249">
                  <c:v>0.82977865495214453</c:v>
                </c:pt>
                <c:pt idx="250">
                  <c:v>0.35786240613156378</c:v>
                </c:pt>
                <c:pt idx="251">
                  <c:v>1.2626351194943848</c:v>
                </c:pt>
                <c:pt idx="252">
                  <c:v>0.97433891628368285</c:v>
                </c:pt>
                <c:pt idx="253">
                  <c:v>0.32059975103099597</c:v>
                </c:pt>
                <c:pt idx="254">
                  <c:v>0.73605273544339733</c:v>
                </c:pt>
                <c:pt idx="255">
                  <c:v>3.8606312132033589E-2</c:v>
                </c:pt>
                <c:pt idx="256">
                  <c:v>0.30407237334321741</c:v>
                </c:pt>
                <c:pt idx="257">
                  <c:v>0.4428286362518109</c:v>
                </c:pt>
              </c:numCache>
            </c:numRef>
          </c:xVal>
          <c:yVal>
            <c:numRef>
              <c:f>FiscalPolicy!$AG$21:$AG$278</c:f>
              <c:numCache>
                <c:formatCode>0.0</c:formatCode>
                <c:ptCount val="258"/>
                <c:pt idx="0">
                  <c:v>0.9</c:v>
                </c:pt>
                <c:pt idx="1">
                  <c:v>1.2</c:v>
                </c:pt>
                <c:pt idx="2">
                  <c:v>0.8</c:v>
                </c:pt>
                <c:pt idx="3">
                  <c:v>0.3</c:v>
                </c:pt>
                <c:pt idx="4">
                  <c:v>-0.6</c:v>
                </c:pt>
                <c:pt idx="5">
                  <c:v>-0.8</c:v>
                </c:pt>
                <c:pt idx="6">
                  <c:v>-1</c:v>
                </c:pt>
                <c:pt idx="7">
                  <c:v>-0.4</c:v>
                </c:pt>
                <c:pt idx="8">
                  <c:v>-0.7</c:v>
                </c:pt>
                <c:pt idx="9">
                  <c:v>-0.4</c:v>
                </c:pt>
                <c:pt idx="10">
                  <c:v>0.1</c:v>
                </c:pt>
                <c:pt idx="11">
                  <c:v>0.2</c:v>
                </c:pt>
                <c:pt idx="12">
                  <c:v>-0.3</c:v>
                </c:pt>
                <c:pt idx="13">
                  <c:v>-0.1</c:v>
                </c:pt>
                <c:pt idx="14">
                  <c:v>0.2</c:v>
                </c:pt>
                <c:pt idx="15">
                  <c:v>-0.4</c:v>
                </c:pt>
                <c:pt idx="16">
                  <c:v>-0.1</c:v>
                </c:pt>
                <c:pt idx="17">
                  <c:v>-0.1</c:v>
                </c:pt>
                <c:pt idx="18">
                  <c:v>0.1</c:v>
                </c:pt>
                <c:pt idx="19">
                  <c:v>1</c:v>
                </c:pt>
                <c:pt idx="20">
                  <c:v>1.6</c:v>
                </c:pt>
                <c:pt idx="21">
                  <c:v>0.5</c:v>
                </c:pt>
                <c:pt idx="22">
                  <c:v>0.2</c:v>
                </c:pt>
                <c:pt idx="23">
                  <c:v>-0.7</c:v>
                </c:pt>
                <c:pt idx="24">
                  <c:v>-0.6</c:v>
                </c:pt>
                <c:pt idx="25">
                  <c:v>-0.3</c:v>
                </c:pt>
                <c:pt idx="26">
                  <c:v>-0.3</c:v>
                </c:pt>
                <c:pt idx="27">
                  <c:v>0.1</c:v>
                </c:pt>
                <c:pt idx="28">
                  <c:v>-0.2</c:v>
                </c:pt>
                <c:pt idx="29">
                  <c:v>0.2</c:v>
                </c:pt>
                <c:pt idx="30">
                  <c:v>-0.1</c:v>
                </c:pt>
                <c:pt idx="31">
                  <c:v>0</c:v>
                </c:pt>
                <c:pt idx="32">
                  <c:v>-0.2</c:v>
                </c:pt>
                <c:pt idx="33">
                  <c:v>0.2</c:v>
                </c:pt>
                <c:pt idx="34">
                  <c:v>0.1</c:v>
                </c:pt>
                <c:pt idx="35">
                  <c:v>0.7</c:v>
                </c:pt>
                <c:pt idx="36">
                  <c:v>1.4</c:v>
                </c:pt>
                <c:pt idx="37">
                  <c:v>1.1000000000000001</c:v>
                </c:pt>
                <c:pt idx="38">
                  <c:v>-0.1</c:v>
                </c:pt>
                <c:pt idx="39">
                  <c:v>-0.9</c:v>
                </c:pt>
                <c:pt idx="40">
                  <c:v>-0.6</c:v>
                </c:pt>
                <c:pt idx="41">
                  <c:v>-0.7</c:v>
                </c:pt>
                <c:pt idx="42">
                  <c:v>0.2</c:v>
                </c:pt>
                <c:pt idx="43">
                  <c:v>0.3</c:v>
                </c:pt>
                <c:pt idx="44">
                  <c:v>-0.5</c:v>
                </c:pt>
                <c:pt idx="45">
                  <c:v>0.1</c:v>
                </c:pt>
                <c:pt idx="46">
                  <c:v>0.3</c:v>
                </c:pt>
                <c:pt idx="47">
                  <c:v>0.8</c:v>
                </c:pt>
                <c:pt idx="48">
                  <c:v>0.5</c:v>
                </c:pt>
                <c:pt idx="49">
                  <c:v>0.2</c:v>
                </c:pt>
                <c:pt idx="50">
                  <c:v>-0.2</c:v>
                </c:pt>
                <c:pt idx="51">
                  <c:v>-0.6</c:v>
                </c:pt>
                <c:pt idx="52">
                  <c:v>-0.6</c:v>
                </c:pt>
                <c:pt idx="53">
                  <c:v>-0.1</c:v>
                </c:pt>
                <c:pt idx="54">
                  <c:v>0.1</c:v>
                </c:pt>
                <c:pt idx="55">
                  <c:v>-0.1</c:v>
                </c:pt>
                <c:pt idx="56">
                  <c:v>0.3</c:v>
                </c:pt>
                <c:pt idx="57">
                  <c:v>-0.1</c:v>
                </c:pt>
                <c:pt idx="58">
                  <c:v>-0.2</c:v>
                </c:pt>
                <c:pt idx="59">
                  <c:v>0.1</c:v>
                </c:pt>
                <c:pt idx="60">
                  <c:v>-0.1</c:v>
                </c:pt>
                <c:pt idx="61">
                  <c:v>-0.3</c:v>
                </c:pt>
                <c:pt idx="62">
                  <c:v>-0.2</c:v>
                </c:pt>
                <c:pt idx="63">
                  <c:v>0</c:v>
                </c:pt>
                <c:pt idx="64">
                  <c:v>-0.1</c:v>
                </c:pt>
                <c:pt idx="65">
                  <c:v>-0.2</c:v>
                </c:pt>
                <c:pt idx="66">
                  <c:v>-0.3</c:v>
                </c:pt>
                <c:pt idx="67">
                  <c:v>-0.3</c:v>
                </c:pt>
                <c:pt idx="68">
                  <c:v>-0.2</c:v>
                </c:pt>
                <c:pt idx="69">
                  <c:v>-0.1</c:v>
                </c:pt>
                <c:pt idx="70">
                  <c:v>0</c:v>
                </c:pt>
                <c:pt idx="71">
                  <c:v>-0.1</c:v>
                </c:pt>
                <c:pt idx="72">
                  <c:v>0.1</c:v>
                </c:pt>
                <c:pt idx="73">
                  <c:v>0</c:v>
                </c:pt>
                <c:pt idx="74">
                  <c:v>0</c:v>
                </c:pt>
                <c:pt idx="75">
                  <c:v>0.1</c:v>
                </c:pt>
                <c:pt idx="76">
                  <c:v>-0.2</c:v>
                </c:pt>
                <c:pt idx="77">
                  <c:v>-0.1</c:v>
                </c:pt>
                <c:pt idx="78">
                  <c:v>-0.1</c:v>
                </c:pt>
                <c:pt idx="79">
                  <c:v>-0.1</c:v>
                </c:pt>
                <c:pt idx="80">
                  <c:v>0</c:v>
                </c:pt>
                <c:pt idx="81">
                  <c:v>0</c:v>
                </c:pt>
                <c:pt idx="82">
                  <c:v>0.2</c:v>
                </c:pt>
                <c:pt idx="83">
                  <c:v>0</c:v>
                </c:pt>
                <c:pt idx="84">
                  <c:v>0.6</c:v>
                </c:pt>
                <c:pt idx="85">
                  <c:v>0.6</c:v>
                </c:pt>
                <c:pt idx="86">
                  <c:v>0.4</c:v>
                </c:pt>
                <c:pt idx="87">
                  <c:v>0.6</c:v>
                </c:pt>
                <c:pt idx="88">
                  <c:v>0.1</c:v>
                </c:pt>
                <c:pt idx="89">
                  <c:v>0</c:v>
                </c:pt>
                <c:pt idx="90">
                  <c:v>0.1</c:v>
                </c:pt>
                <c:pt idx="91">
                  <c:v>-0.1</c:v>
                </c:pt>
                <c:pt idx="92">
                  <c:v>-0.1</c:v>
                </c:pt>
                <c:pt idx="93">
                  <c:v>-0.1</c:v>
                </c:pt>
                <c:pt idx="94">
                  <c:v>-0.1</c:v>
                </c:pt>
                <c:pt idx="95">
                  <c:v>-0.2</c:v>
                </c:pt>
                <c:pt idx="96">
                  <c:v>-0.5</c:v>
                </c:pt>
                <c:pt idx="97">
                  <c:v>0</c:v>
                </c:pt>
                <c:pt idx="98">
                  <c:v>-0.1</c:v>
                </c:pt>
                <c:pt idx="99">
                  <c:v>0</c:v>
                </c:pt>
                <c:pt idx="100">
                  <c:v>0.3</c:v>
                </c:pt>
                <c:pt idx="101">
                  <c:v>0.1</c:v>
                </c:pt>
                <c:pt idx="102">
                  <c:v>0.4</c:v>
                </c:pt>
                <c:pt idx="103">
                  <c:v>1</c:v>
                </c:pt>
                <c:pt idx="104">
                  <c:v>1.7</c:v>
                </c:pt>
                <c:pt idx="105">
                  <c:v>0.6</c:v>
                </c:pt>
                <c:pt idx="106">
                  <c:v>-0.4</c:v>
                </c:pt>
                <c:pt idx="107">
                  <c:v>-0.2</c:v>
                </c:pt>
                <c:pt idx="108">
                  <c:v>-0.6</c:v>
                </c:pt>
                <c:pt idx="109">
                  <c:v>-0.1</c:v>
                </c:pt>
                <c:pt idx="110">
                  <c:v>0.1</c:v>
                </c:pt>
                <c:pt idx="111">
                  <c:v>0.1</c:v>
                </c:pt>
                <c:pt idx="112">
                  <c:v>-0.3</c:v>
                </c:pt>
                <c:pt idx="113">
                  <c:v>-0.4</c:v>
                </c:pt>
                <c:pt idx="114">
                  <c:v>-0.2</c:v>
                </c:pt>
                <c:pt idx="115">
                  <c:v>-0.2</c:v>
                </c:pt>
                <c:pt idx="116">
                  <c:v>-0.4</c:v>
                </c:pt>
                <c:pt idx="117">
                  <c:v>-0.3</c:v>
                </c:pt>
                <c:pt idx="118">
                  <c:v>0</c:v>
                </c:pt>
                <c:pt idx="119">
                  <c:v>-0.1</c:v>
                </c:pt>
                <c:pt idx="120">
                  <c:v>0</c:v>
                </c:pt>
                <c:pt idx="121">
                  <c:v>-0.2</c:v>
                </c:pt>
                <c:pt idx="122">
                  <c:v>0.2</c:v>
                </c:pt>
                <c:pt idx="123">
                  <c:v>0.1</c:v>
                </c:pt>
                <c:pt idx="124">
                  <c:v>0.3</c:v>
                </c:pt>
                <c:pt idx="125">
                  <c:v>1</c:v>
                </c:pt>
                <c:pt idx="126">
                  <c:v>0.4</c:v>
                </c:pt>
                <c:pt idx="127">
                  <c:v>-0.3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0.8</c:v>
                </c:pt>
                <c:pt idx="132">
                  <c:v>0.6</c:v>
                </c:pt>
                <c:pt idx="133">
                  <c:v>0.6</c:v>
                </c:pt>
                <c:pt idx="134">
                  <c:v>0.5</c:v>
                </c:pt>
                <c:pt idx="135">
                  <c:v>0.8</c:v>
                </c:pt>
                <c:pt idx="136">
                  <c:v>-0.3</c:v>
                </c:pt>
                <c:pt idx="137">
                  <c:v>-0.3</c:v>
                </c:pt>
                <c:pt idx="138">
                  <c:v>-0.7</c:v>
                </c:pt>
                <c:pt idx="139">
                  <c:v>-0.9</c:v>
                </c:pt>
                <c:pt idx="140">
                  <c:v>-0.6</c:v>
                </c:pt>
                <c:pt idx="141">
                  <c:v>-0.5</c:v>
                </c:pt>
                <c:pt idx="142">
                  <c:v>0</c:v>
                </c:pt>
                <c:pt idx="143">
                  <c:v>-0.1</c:v>
                </c:pt>
                <c:pt idx="144">
                  <c:v>-0.1</c:v>
                </c:pt>
                <c:pt idx="145">
                  <c:v>0.1</c:v>
                </c:pt>
                <c:pt idx="146">
                  <c:v>-0.1</c:v>
                </c:pt>
                <c:pt idx="147">
                  <c:v>-0.2</c:v>
                </c:pt>
                <c:pt idx="148">
                  <c:v>0</c:v>
                </c:pt>
                <c:pt idx="149">
                  <c:v>0.2</c:v>
                </c:pt>
                <c:pt idx="150">
                  <c:v>-0.2</c:v>
                </c:pt>
                <c:pt idx="151">
                  <c:v>-0.2</c:v>
                </c:pt>
                <c:pt idx="152">
                  <c:v>-0.2</c:v>
                </c:pt>
                <c:pt idx="153">
                  <c:v>-0.3</c:v>
                </c:pt>
                <c:pt idx="154">
                  <c:v>-0.3</c:v>
                </c:pt>
                <c:pt idx="155">
                  <c:v>-0.2</c:v>
                </c:pt>
                <c:pt idx="156">
                  <c:v>-0.1</c:v>
                </c:pt>
                <c:pt idx="157">
                  <c:v>-0.2</c:v>
                </c:pt>
                <c:pt idx="158">
                  <c:v>0</c:v>
                </c:pt>
                <c:pt idx="159">
                  <c:v>-0.2</c:v>
                </c:pt>
                <c:pt idx="160">
                  <c:v>-0.1</c:v>
                </c:pt>
                <c:pt idx="161">
                  <c:v>0</c:v>
                </c:pt>
                <c:pt idx="162">
                  <c:v>0</c:v>
                </c:pt>
                <c:pt idx="163">
                  <c:v>0.2</c:v>
                </c:pt>
                <c:pt idx="164">
                  <c:v>-0.1</c:v>
                </c:pt>
                <c:pt idx="165">
                  <c:v>0</c:v>
                </c:pt>
                <c:pt idx="166">
                  <c:v>0.4</c:v>
                </c:pt>
                <c:pt idx="167">
                  <c:v>0.4</c:v>
                </c:pt>
                <c:pt idx="168">
                  <c:v>0.5</c:v>
                </c:pt>
                <c:pt idx="169">
                  <c:v>0.2</c:v>
                </c:pt>
                <c:pt idx="170">
                  <c:v>0.1</c:v>
                </c:pt>
                <c:pt idx="171">
                  <c:v>0.2</c:v>
                </c:pt>
                <c:pt idx="172">
                  <c:v>0.3</c:v>
                </c:pt>
                <c:pt idx="173">
                  <c:v>0.2</c:v>
                </c:pt>
                <c:pt idx="174">
                  <c:v>0</c:v>
                </c:pt>
                <c:pt idx="175">
                  <c:v>-0.2</c:v>
                </c:pt>
                <c:pt idx="176">
                  <c:v>-0.3</c:v>
                </c:pt>
                <c:pt idx="177">
                  <c:v>0</c:v>
                </c:pt>
                <c:pt idx="178">
                  <c:v>-0.3</c:v>
                </c:pt>
                <c:pt idx="179">
                  <c:v>-0.2</c:v>
                </c:pt>
                <c:pt idx="180">
                  <c:v>0</c:v>
                </c:pt>
                <c:pt idx="181">
                  <c:v>-0.4</c:v>
                </c:pt>
                <c:pt idx="182">
                  <c:v>-0.2</c:v>
                </c:pt>
                <c:pt idx="183">
                  <c:v>-0.4</c:v>
                </c:pt>
                <c:pt idx="184">
                  <c:v>-0.1</c:v>
                </c:pt>
                <c:pt idx="185">
                  <c:v>0.2</c:v>
                </c:pt>
                <c:pt idx="186">
                  <c:v>0</c:v>
                </c:pt>
                <c:pt idx="187">
                  <c:v>-0.1</c:v>
                </c:pt>
                <c:pt idx="188">
                  <c:v>-0.1</c:v>
                </c:pt>
                <c:pt idx="189">
                  <c:v>0</c:v>
                </c:pt>
                <c:pt idx="190">
                  <c:v>-0.2</c:v>
                </c:pt>
                <c:pt idx="191">
                  <c:v>0</c:v>
                </c:pt>
                <c:pt idx="192">
                  <c:v>-0.1</c:v>
                </c:pt>
                <c:pt idx="193">
                  <c:v>-0.2</c:v>
                </c:pt>
                <c:pt idx="194">
                  <c:v>-0.1</c:v>
                </c:pt>
                <c:pt idx="195">
                  <c:v>-0.2</c:v>
                </c:pt>
                <c:pt idx="196">
                  <c:v>-0.1</c:v>
                </c:pt>
                <c:pt idx="197">
                  <c:v>-0.2</c:v>
                </c:pt>
                <c:pt idx="198">
                  <c:v>0.1</c:v>
                </c:pt>
                <c:pt idx="199">
                  <c:v>-0.1</c:v>
                </c:pt>
                <c:pt idx="200">
                  <c:v>-0.1</c:v>
                </c:pt>
                <c:pt idx="201">
                  <c:v>0</c:v>
                </c:pt>
                <c:pt idx="202">
                  <c:v>-0.1</c:v>
                </c:pt>
                <c:pt idx="203">
                  <c:v>-0.1</c:v>
                </c:pt>
                <c:pt idx="204">
                  <c:v>-0.1</c:v>
                </c:pt>
                <c:pt idx="205">
                  <c:v>-0.1</c:v>
                </c:pt>
                <c:pt idx="206">
                  <c:v>0.1</c:v>
                </c:pt>
                <c:pt idx="207">
                  <c:v>-0.1</c:v>
                </c:pt>
                <c:pt idx="208">
                  <c:v>0.3</c:v>
                </c:pt>
                <c:pt idx="209">
                  <c:v>0.2</c:v>
                </c:pt>
                <c:pt idx="210">
                  <c:v>0.4</c:v>
                </c:pt>
                <c:pt idx="211">
                  <c:v>0.7</c:v>
                </c:pt>
                <c:pt idx="212">
                  <c:v>0.2</c:v>
                </c:pt>
                <c:pt idx="213">
                  <c:v>0.1</c:v>
                </c:pt>
                <c:pt idx="214">
                  <c:v>-0.1</c:v>
                </c:pt>
                <c:pt idx="215">
                  <c:v>0.2</c:v>
                </c:pt>
                <c:pt idx="216">
                  <c:v>0</c:v>
                </c:pt>
                <c:pt idx="217">
                  <c:v>0.2</c:v>
                </c:pt>
                <c:pt idx="218">
                  <c:v>0</c:v>
                </c:pt>
                <c:pt idx="219">
                  <c:v>-0.3</c:v>
                </c:pt>
                <c:pt idx="220">
                  <c:v>-0.1</c:v>
                </c:pt>
                <c:pt idx="221">
                  <c:v>-0.1</c:v>
                </c:pt>
                <c:pt idx="222">
                  <c:v>-0.2</c:v>
                </c:pt>
                <c:pt idx="223">
                  <c:v>0</c:v>
                </c:pt>
                <c:pt idx="224">
                  <c:v>-0.1</c:v>
                </c:pt>
                <c:pt idx="225">
                  <c:v>-0.2</c:v>
                </c:pt>
                <c:pt idx="226">
                  <c:v>-0.1</c:v>
                </c:pt>
                <c:pt idx="227">
                  <c:v>0</c:v>
                </c:pt>
                <c:pt idx="228">
                  <c:v>-0.3</c:v>
                </c:pt>
                <c:pt idx="229">
                  <c:v>-0.1</c:v>
                </c:pt>
                <c:pt idx="230">
                  <c:v>0</c:v>
                </c:pt>
                <c:pt idx="231">
                  <c:v>-0.2</c:v>
                </c:pt>
                <c:pt idx="232">
                  <c:v>0.1</c:v>
                </c:pt>
                <c:pt idx="233">
                  <c:v>0</c:v>
                </c:pt>
                <c:pt idx="234">
                  <c:v>0.2</c:v>
                </c:pt>
                <c:pt idx="235">
                  <c:v>0.1</c:v>
                </c:pt>
                <c:pt idx="236">
                  <c:v>0.2</c:v>
                </c:pt>
                <c:pt idx="237">
                  <c:v>0.3</c:v>
                </c:pt>
                <c:pt idx="238">
                  <c:v>0.7</c:v>
                </c:pt>
                <c:pt idx="239">
                  <c:v>0.9</c:v>
                </c:pt>
                <c:pt idx="240">
                  <c:v>1.4</c:v>
                </c:pt>
                <c:pt idx="241">
                  <c:v>1</c:v>
                </c:pt>
                <c:pt idx="242">
                  <c:v>0.3</c:v>
                </c:pt>
                <c:pt idx="243">
                  <c:v>0.3</c:v>
                </c:pt>
                <c:pt idx="244">
                  <c:v>-0.1</c:v>
                </c:pt>
                <c:pt idx="245">
                  <c:v>-0.2</c:v>
                </c:pt>
                <c:pt idx="246">
                  <c:v>-0.1</c:v>
                </c:pt>
                <c:pt idx="247">
                  <c:v>0</c:v>
                </c:pt>
                <c:pt idx="248">
                  <c:v>-0.5</c:v>
                </c:pt>
                <c:pt idx="249">
                  <c:v>0</c:v>
                </c:pt>
                <c:pt idx="250">
                  <c:v>0</c:v>
                </c:pt>
                <c:pt idx="251">
                  <c:v>-0.3</c:v>
                </c:pt>
                <c:pt idx="252">
                  <c:v>-0.4</c:v>
                </c:pt>
                <c:pt idx="253">
                  <c:v>-0.1</c:v>
                </c:pt>
                <c:pt idx="254">
                  <c:v>-0.2</c:v>
                </c:pt>
                <c:pt idx="255">
                  <c:v>-0.2</c:v>
                </c:pt>
                <c:pt idx="256">
                  <c:v>-0.1</c:v>
                </c:pt>
                <c:pt idx="257">
                  <c:v>-0.1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3190960"/>
        <c:axId val="443191520"/>
      </c:scatterChart>
      <c:valAx>
        <c:axId val="443190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Change in RGDP relative to Potential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443191520"/>
        <c:crosses val="autoZero"/>
        <c:crossBetween val="midCat"/>
      </c:valAx>
      <c:valAx>
        <c:axId val="4431915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Change in UE</a:t>
                </a:r>
              </a:p>
            </c:rich>
          </c:tx>
          <c:layout>
            <c:manualLayout>
              <c:xMode val="edge"/>
              <c:yMode val="edge"/>
              <c:x val="1.3888888888888888E-2"/>
              <c:y val="0.3250287984835229"/>
            </c:manualLayout>
          </c:layout>
          <c:overlay val="0"/>
        </c:title>
        <c:numFmt formatCode="0.0" sourceLinked="1"/>
        <c:majorTickMark val="out"/>
        <c:minorTickMark val="none"/>
        <c:tickLblPos val="nextTo"/>
        <c:crossAx val="44319096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4269335083114608"/>
          <c:y val="0.14776428988043161"/>
          <c:w val="0.25730664916885387"/>
          <c:h val="0.25115157480314959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FiscalPolicy!$V$4</c:f>
              <c:strCache>
                <c:ptCount val="1"/>
                <c:pt idx="0">
                  <c:v>actual</c:v>
                </c:pt>
              </c:strCache>
            </c:strRef>
          </c:tx>
          <c:marker>
            <c:symbol val="none"/>
          </c:marker>
          <c:cat>
            <c:numRef>
              <c:f>FiscalPolicy!$U$5:$U$22</c:f>
              <c:numCache>
                <c:formatCode>General</c:formatCode>
                <c:ptCount val="18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</c:numCache>
            </c:numRef>
          </c:cat>
          <c:val>
            <c:numRef>
              <c:f>FiscalPolicy!$V$5:$V$22</c:f>
              <c:numCache>
                <c:formatCode>0.0</c:formatCode>
                <c:ptCount val="18"/>
                <c:pt idx="0">
                  <c:v>5.3</c:v>
                </c:pt>
                <c:pt idx="1">
                  <c:v>5.7</c:v>
                </c:pt>
                <c:pt idx="2">
                  <c:v>6.1</c:v>
                </c:pt>
                <c:pt idx="3">
                  <c:v>6.6</c:v>
                </c:pt>
                <c:pt idx="4">
                  <c:v>6.8</c:v>
                </c:pt>
                <c:pt idx="5">
                  <c:v>6.9</c:v>
                </c:pt>
                <c:pt idx="6">
                  <c:v>7.1</c:v>
                </c:pt>
                <c:pt idx="7">
                  <c:v>7.4</c:v>
                </c:pt>
                <c:pt idx="8">
                  <c:v>7.6</c:v>
                </c:pt>
                <c:pt idx="9">
                  <c:v>7.6</c:v>
                </c:pt>
                <c:pt idx="10">
                  <c:v>7.4</c:v>
                </c:pt>
                <c:pt idx="11">
                  <c:v>7.1</c:v>
                </c:pt>
                <c:pt idx="12">
                  <c:v>7.1</c:v>
                </c:pt>
                <c:pt idx="13">
                  <c:v>6.8</c:v>
                </c:pt>
                <c:pt idx="14">
                  <c:v>6.6</c:v>
                </c:pt>
                <c:pt idx="15">
                  <c:v>6.6</c:v>
                </c:pt>
                <c:pt idx="16">
                  <c:v>6.2</c:v>
                </c:pt>
                <c:pt idx="17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FiscalPolicy!$W$4</c:f>
              <c:strCache>
                <c:ptCount val="1"/>
                <c:pt idx="0">
                  <c:v>counterf.</c:v>
                </c:pt>
              </c:strCache>
            </c:strRef>
          </c:tx>
          <c:marker>
            <c:symbol val="none"/>
          </c:marker>
          <c:cat>
            <c:numRef>
              <c:f>FiscalPolicy!$U$5:$U$22</c:f>
              <c:numCache>
                <c:formatCode>General</c:formatCode>
                <c:ptCount val="18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</c:numCache>
            </c:numRef>
          </c:cat>
          <c:val>
            <c:numRef>
              <c:f>FiscalPolicy!$W$5:$W$22</c:f>
              <c:numCache>
                <c:formatCode>0.0</c:formatCode>
                <c:ptCount val="18"/>
                <c:pt idx="0">
                  <c:v>5.3</c:v>
                </c:pt>
                <c:pt idx="1">
                  <c:v>5.5072333200965193</c:v>
                </c:pt>
                <c:pt idx="2">
                  <c:v>5.7866238221157893</c:v>
                </c:pt>
                <c:pt idx="3">
                  <c:v>5.8663972388598875</c:v>
                </c:pt>
                <c:pt idx="4">
                  <c:v>6.4596113712613956</c:v>
                </c:pt>
                <c:pt idx="5">
                  <c:v>6.5759684552337045</c:v>
                </c:pt>
                <c:pt idx="6">
                  <c:v>6.7219408272505765</c:v>
                </c:pt>
                <c:pt idx="7">
                  <c:v>6.8923742320574046</c:v>
                </c:pt>
                <c:pt idx="8">
                  <c:v>7.3217796739082646</c:v>
                </c:pt>
                <c:pt idx="9">
                  <c:v>7.3078385337501661</c:v>
                </c:pt>
                <c:pt idx="10">
                  <c:v>7.1667105170751046</c:v>
                </c:pt>
                <c:pt idx="11">
                  <c:v>6.8354494013980664</c:v>
                </c:pt>
                <c:pt idx="12">
                  <c:v>6.6484501361834285</c:v>
                </c:pt>
                <c:pt idx="13">
                  <c:v>6.2259401323472421</c:v>
                </c:pt>
                <c:pt idx="14">
                  <c:v>5.9431054858653827</c:v>
                </c:pt>
                <c:pt idx="15">
                  <c:v>5.9601214094831114</c:v>
                </c:pt>
                <c:pt idx="16">
                  <c:v>5.2797400681221127</c:v>
                </c:pt>
                <c:pt idx="17">
                  <c:v>5.1382784602864309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3194880"/>
        <c:axId val="443195440"/>
      </c:lineChart>
      <c:catAx>
        <c:axId val="443194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43195440"/>
        <c:crosses val="autoZero"/>
        <c:auto val="1"/>
        <c:lblAlgn val="ctr"/>
        <c:lblOffset val="100"/>
        <c:noMultiLvlLbl val="0"/>
      </c:catAx>
      <c:valAx>
        <c:axId val="443195440"/>
        <c:scaling>
          <c:orientation val="minMax"/>
          <c:min val="5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4431948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FiscalPolicy!$V$4</c:f>
              <c:strCache>
                <c:ptCount val="1"/>
                <c:pt idx="0">
                  <c:v>actual</c:v>
                </c:pt>
              </c:strCache>
            </c:strRef>
          </c:tx>
          <c:marker>
            <c:symbol val="none"/>
          </c:marker>
          <c:cat>
            <c:numRef>
              <c:f>FiscalPolicy!$U$5:$U$22</c:f>
              <c:numCache>
                <c:formatCode>General</c:formatCode>
                <c:ptCount val="18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</c:numCache>
            </c:numRef>
          </c:cat>
          <c:val>
            <c:numRef>
              <c:f>FiscalPolicy!$X$5:$X$22</c:f>
              <c:numCache>
                <c:formatCode>0.0</c:formatCode>
                <c:ptCount val="18"/>
                <c:pt idx="0">
                  <c:v>3.9</c:v>
                </c:pt>
                <c:pt idx="1">
                  <c:v>4.2</c:v>
                </c:pt>
                <c:pt idx="2">
                  <c:v>4.4000000000000004</c:v>
                </c:pt>
                <c:pt idx="3">
                  <c:v>4.8</c:v>
                </c:pt>
                <c:pt idx="4">
                  <c:v>5.5</c:v>
                </c:pt>
                <c:pt idx="5">
                  <c:v>5.7</c:v>
                </c:pt>
                <c:pt idx="6">
                  <c:v>5.8</c:v>
                </c:pt>
                <c:pt idx="7">
                  <c:v>5.7</c:v>
                </c:pt>
                <c:pt idx="8">
                  <c:v>5.9</c:v>
                </c:pt>
                <c:pt idx="9">
                  <c:v>5.9</c:v>
                </c:pt>
                <c:pt idx="10">
                  <c:v>6.1</c:v>
                </c:pt>
                <c:pt idx="11">
                  <c:v>6.1</c:v>
                </c:pt>
                <c:pt idx="12">
                  <c:v>5.8</c:v>
                </c:pt>
                <c:pt idx="13">
                  <c:v>5.7</c:v>
                </c:pt>
                <c:pt idx="14">
                  <c:v>5.6</c:v>
                </c:pt>
                <c:pt idx="15">
                  <c:v>5.4</c:v>
                </c:pt>
                <c:pt idx="16">
                  <c:v>5.4</c:v>
                </c:pt>
                <c:pt idx="17">
                  <c:v>5.3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FiscalPolicy!$W$4</c:f>
              <c:strCache>
                <c:ptCount val="1"/>
                <c:pt idx="0">
                  <c:v>counterf.</c:v>
                </c:pt>
              </c:strCache>
            </c:strRef>
          </c:tx>
          <c:marker>
            <c:symbol val="none"/>
          </c:marker>
          <c:cat>
            <c:numRef>
              <c:f>FiscalPolicy!$U$5:$U$22</c:f>
              <c:numCache>
                <c:formatCode>General</c:formatCode>
                <c:ptCount val="18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</c:numCache>
            </c:numRef>
          </c:cat>
          <c:val>
            <c:numRef>
              <c:f>FiscalPolicy!$Y$5:$Y$22</c:f>
              <c:numCache>
                <c:formatCode>0.0</c:formatCode>
                <c:ptCount val="18"/>
                <c:pt idx="0">
                  <c:v>3.9</c:v>
                </c:pt>
                <c:pt idx="1">
                  <c:v>4.102234801892088</c:v>
                </c:pt>
                <c:pt idx="2">
                  <c:v>4.3995897289154637</c:v>
                </c:pt>
                <c:pt idx="3">
                  <c:v>5.3490426047201112</c:v>
                </c:pt>
                <c:pt idx="4">
                  <c:v>5.6831986196662658</c:v>
                </c:pt>
                <c:pt idx="5">
                  <c:v>6.4980814315718458</c:v>
                </c:pt>
                <c:pt idx="6">
                  <c:v>6.6205285262480764</c:v>
                </c:pt>
                <c:pt idx="7">
                  <c:v>6.161429229453514</c:v>
                </c:pt>
                <c:pt idx="8">
                  <c:v>6.5465789377585901</c:v>
                </c:pt>
                <c:pt idx="9">
                  <c:v>6.4096437759883775</c:v>
                </c:pt>
                <c:pt idx="10">
                  <c:v>6.9391186966196159</c:v>
                </c:pt>
                <c:pt idx="11">
                  <c:v>7.2284276884182903</c:v>
                </c:pt>
                <c:pt idx="12">
                  <c:v>6.7755333993890066</c:v>
                </c:pt>
                <c:pt idx="13">
                  <c:v>6.6352358329997259</c:v>
                </c:pt>
                <c:pt idx="14">
                  <c:v>6.5148315057688766</c:v>
                </c:pt>
                <c:pt idx="15">
                  <c:v>6.3343460707207058</c:v>
                </c:pt>
                <c:pt idx="16">
                  <c:v>6.1751521718601774</c:v>
                </c:pt>
                <c:pt idx="17">
                  <c:v>5.8564605688920652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3198800"/>
        <c:axId val="443199360"/>
      </c:lineChart>
      <c:catAx>
        <c:axId val="443198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43199360"/>
        <c:crosses val="autoZero"/>
        <c:auto val="1"/>
        <c:lblAlgn val="ctr"/>
        <c:lblOffset val="100"/>
        <c:noMultiLvlLbl val="0"/>
      </c:catAx>
      <c:valAx>
        <c:axId val="443199360"/>
        <c:scaling>
          <c:orientation val="minMax"/>
          <c:min val="3.5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4431988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FiscalPolicy!$V$4</c:f>
              <c:strCache>
                <c:ptCount val="1"/>
                <c:pt idx="0">
                  <c:v>actual</c:v>
                </c:pt>
              </c:strCache>
            </c:strRef>
          </c:tx>
          <c:marker>
            <c:symbol val="none"/>
          </c:marker>
          <c:cat>
            <c:numRef>
              <c:f>FiscalPolicy!$U$5:$U$22</c:f>
              <c:numCache>
                <c:formatCode>General</c:formatCode>
                <c:ptCount val="18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</c:numCache>
            </c:numRef>
          </c:cat>
          <c:val>
            <c:numRef>
              <c:f>FiscalPolicy!$Z$5:$Z$22</c:f>
              <c:numCache>
                <c:formatCode>0.0</c:formatCode>
                <c:ptCount val="18"/>
                <c:pt idx="0">
                  <c:v>4.7</c:v>
                </c:pt>
                <c:pt idx="1">
                  <c:v>4.8</c:v>
                </c:pt>
                <c:pt idx="2">
                  <c:v>5</c:v>
                </c:pt>
                <c:pt idx="3">
                  <c:v>5.3</c:v>
                </c:pt>
                <c:pt idx="4">
                  <c:v>6</c:v>
                </c:pt>
                <c:pt idx="5">
                  <c:v>6.9</c:v>
                </c:pt>
                <c:pt idx="6">
                  <c:v>8.3000000000000007</c:v>
                </c:pt>
                <c:pt idx="7">
                  <c:v>9.3000000000000007</c:v>
                </c:pt>
                <c:pt idx="8">
                  <c:v>9.6</c:v>
                </c:pt>
                <c:pt idx="9">
                  <c:v>9.9</c:v>
                </c:pt>
                <c:pt idx="10">
                  <c:v>9.8000000000000007</c:v>
                </c:pt>
                <c:pt idx="11">
                  <c:v>9.6</c:v>
                </c:pt>
                <c:pt idx="12">
                  <c:v>9.5</c:v>
                </c:pt>
                <c:pt idx="13">
                  <c:v>9.5</c:v>
                </c:pt>
                <c:pt idx="14">
                  <c:v>9</c:v>
                </c:pt>
                <c:pt idx="15">
                  <c:v>9</c:v>
                </c:pt>
                <c:pt idx="16">
                  <c:v>9</c:v>
                </c:pt>
                <c:pt idx="17">
                  <c:v>8.6999999999999993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FiscalPolicy!$W$4</c:f>
              <c:strCache>
                <c:ptCount val="1"/>
                <c:pt idx="0">
                  <c:v>counterf.</c:v>
                </c:pt>
              </c:strCache>
            </c:strRef>
          </c:tx>
          <c:marker>
            <c:symbol val="none"/>
          </c:marker>
          <c:cat>
            <c:numRef>
              <c:f>FiscalPolicy!$U$5:$U$22</c:f>
              <c:numCache>
                <c:formatCode>General</c:formatCode>
                <c:ptCount val="18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</c:numCache>
            </c:numRef>
          </c:cat>
          <c:val>
            <c:numRef>
              <c:f>FiscalPolicy!$AA$5:$AA$22</c:f>
              <c:numCache>
                <c:formatCode>0.0</c:formatCode>
                <c:ptCount val="18"/>
                <c:pt idx="0">
                  <c:v>4.7</c:v>
                </c:pt>
                <c:pt idx="1">
                  <c:v>4.7685552442355368</c:v>
                </c:pt>
                <c:pt idx="2">
                  <c:v>5.1399483063955946</c:v>
                </c:pt>
                <c:pt idx="3">
                  <c:v>6.2828150188708616</c:v>
                </c:pt>
                <c:pt idx="4">
                  <c:v>6.5402318432098889</c:v>
                </c:pt>
                <c:pt idx="5">
                  <c:v>7.0981621197988023</c:v>
                </c:pt>
                <c:pt idx="6">
                  <c:v>9.0592597470279639</c:v>
                </c:pt>
                <c:pt idx="7">
                  <c:v>10.310348670397108</c:v>
                </c:pt>
                <c:pt idx="8">
                  <c:v>10.722088294849272</c:v>
                </c:pt>
                <c:pt idx="9">
                  <c:v>10.771215567950476</c:v>
                </c:pt>
                <c:pt idx="10">
                  <c:v>10.87458299537955</c:v>
                </c:pt>
                <c:pt idx="11">
                  <c:v>10.62846613783276</c:v>
                </c:pt>
                <c:pt idx="12">
                  <c:v>10.54192838401201</c:v>
                </c:pt>
                <c:pt idx="13">
                  <c:v>10.36860238752535</c:v>
                </c:pt>
                <c:pt idx="14">
                  <c:v>9.7255021502990857</c:v>
                </c:pt>
                <c:pt idx="15">
                  <c:v>9.9602801170451016</c:v>
                </c:pt>
                <c:pt idx="16">
                  <c:v>9.5839040696334088</c:v>
                </c:pt>
                <c:pt idx="17">
                  <c:v>9.1714760602878833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3202720"/>
        <c:axId val="443203280"/>
      </c:lineChart>
      <c:catAx>
        <c:axId val="443202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43203280"/>
        <c:crosses val="autoZero"/>
        <c:auto val="1"/>
        <c:lblAlgn val="ctr"/>
        <c:lblOffset val="100"/>
        <c:noMultiLvlLbl val="0"/>
      </c:catAx>
      <c:valAx>
        <c:axId val="443203280"/>
        <c:scaling>
          <c:orientation val="minMax"/>
          <c:min val="3.5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4432027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Actual</c:v>
          </c:tx>
          <c:marker>
            <c:symbol val="none"/>
          </c:marker>
          <c:cat>
            <c:numRef>
              <c:f>combined!$A$5:$A$22</c:f>
              <c:numCache>
                <c:formatCode>General</c:formatCode>
                <c:ptCount val="18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</c:numCache>
            </c:numRef>
          </c:cat>
          <c:val>
            <c:numRef>
              <c:f>combined!$B$5:$B$22</c:f>
              <c:numCache>
                <c:formatCode>General</c:formatCode>
                <c:ptCount val="18"/>
                <c:pt idx="0">
                  <c:v>5.3</c:v>
                </c:pt>
                <c:pt idx="1">
                  <c:v>5.7</c:v>
                </c:pt>
                <c:pt idx="2">
                  <c:v>6.1</c:v>
                </c:pt>
                <c:pt idx="3">
                  <c:v>6.6</c:v>
                </c:pt>
                <c:pt idx="4">
                  <c:v>6.8</c:v>
                </c:pt>
                <c:pt idx="5">
                  <c:v>6.9</c:v>
                </c:pt>
                <c:pt idx="6">
                  <c:v>7.1</c:v>
                </c:pt>
                <c:pt idx="7">
                  <c:v>7.4</c:v>
                </c:pt>
                <c:pt idx="8">
                  <c:v>7.6</c:v>
                </c:pt>
                <c:pt idx="9">
                  <c:v>7.6</c:v>
                </c:pt>
                <c:pt idx="10">
                  <c:v>7.4</c:v>
                </c:pt>
                <c:pt idx="11">
                  <c:v>7.1</c:v>
                </c:pt>
                <c:pt idx="12">
                  <c:v>7.1</c:v>
                </c:pt>
                <c:pt idx="13">
                  <c:v>6.8</c:v>
                </c:pt>
                <c:pt idx="14">
                  <c:v>6.6</c:v>
                </c:pt>
                <c:pt idx="15">
                  <c:v>6.6</c:v>
                </c:pt>
                <c:pt idx="16">
                  <c:v>6.2</c:v>
                </c:pt>
                <c:pt idx="17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v>Counterfactual</c:v>
          </c:tx>
          <c:marker>
            <c:symbol val="none"/>
          </c:marker>
          <c:cat>
            <c:numRef>
              <c:f>combined!$A$5:$A$22</c:f>
              <c:numCache>
                <c:formatCode>General</c:formatCode>
                <c:ptCount val="18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</c:numCache>
            </c:numRef>
          </c:cat>
          <c:val>
            <c:numRef>
              <c:f>combined!$F$5:$F$22</c:f>
              <c:numCache>
                <c:formatCode>0.00</c:formatCode>
                <c:ptCount val="18"/>
                <c:pt idx="0">
                  <c:v>5.3</c:v>
                </c:pt>
                <c:pt idx="1">
                  <c:v>5.5125975044261839</c:v>
                </c:pt>
                <c:pt idx="2">
                  <c:v>5.8160216524830233</c:v>
                </c:pt>
                <c:pt idx="3">
                  <c:v>5.8783583165754649</c:v>
                </c:pt>
                <c:pt idx="4">
                  <c:v>6.3889190028402227</c:v>
                </c:pt>
                <c:pt idx="5">
                  <c:v>6.5096398405011477</c:v>
                </c:pt>
                <c:pt idx="6">
                  <c:v>6.6484552786990028</c:v>
                </c:pt>
                <c:pt idx="7">
                  <c:v>6.8030458480726592</c:v>
                </c:pt>
                <c:pt idx="8">
                  <c:v>7.1820544755968774</c:v>
                </c:pt>
                <c:pt idx="9">
                  <c:v>7.0738358783350908</c:v>
                </c:pt>
                <c:pt idx="10">
                  <c:v>6.8659497731781682</c:v>
                </c:pt>
                <c:pt idx="11">
                  <c:v>6.4070450476863154</c:v>
                </c:pt>
                <c:pt idx="12">
                  <c:v>6.2021197123885532</c:v>
                </c:pt>
                <c:pt idx="13">
                  <c:v>5.72370309916524</c:v>
                </c:pt>
                <c:pt idx="14">
                  <c:v>5.4551023275764274</c:v>
                </c:pt>
                <c:pt idx="15">
                  <c:v>5.344199803191076</c:v>
                </c:pt>
                <c:pt idx="16">
                  <c:v>4.5767703305355534</c:v>
                </c:pt>
                <c:pt idx="17">
                  <c:v>4.3857406605278859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4483264"/>
        <c:axId val="444483824"/>
      </c:lineChart>
      <c:catAx>
        <c:axId val="444483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44483824"/>
        <c:crosses val="autoZero"/>
        <c:auto val="1"/>
        <c:lblAlgn val="ctr"/>
        <c:lblOffset val="100"/>
        <c:noMultiLvlLbl val="0"/>
      </c:catAx>
      <c:valAx>
        <c:axId val="444483824"/>
        <c:scaling>
          <c:orientation val="minMax"/>
          <c:min val="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444832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Actual</c:v>
          </c:tx>
          <c:marker>
            <c:symbol val="none"/>
          </c:marker>
          <c:cat>
            <c:numRef>
              <c:f>combined!$A$5:$A$22</c:f>
              <c:numCache>
                <c:formatCode>General</c:formatCode>
                <c:ptCount val="18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</c:numCache>
            </c:numRef>
          </c:cat>
          <c:val>
            <c:numRef>
              <c:f>combined!$I$5:$I$22</c:f>
              <c:numCache>
                <c:formatCode>General</c:formatCode>
                <c:ptCount val="18"/>
                <c:pt idx="0">
                  <c:v>3.9</c:v>
                </c:pt>
                <c:pt idx="1">
                  <c:v>4.2</c:v>
                </c:pt>
                <c:pt idx="2">
                  <c:v>4.4000000000000004</c:v>
                </c:pt>
                <c:pt idx="3">
                  <c:v>4.8</c:v>
                </c:pt>
                <c:pt idx="4">
                  <c:v>5.5</c:v>
                </c:pt>
                <c:pt idx="5">
                  <c:v>5.7</c:v>
                </c:pt>
                <c:pt idx="6">
                  <c:v>5.8</c:v>
                </c:pt>
                <c:pt idx="7">
                  <c:v>5.7</c:v>
                </c:pt>
                <c:pt idx="8">
                  <c:v>5.9</c:v>
                </c:pt>
                <c:pt idx="9">
                  <c:v>5.9</c:v>
                </c:pt>
                <c:pt idx="10">
                  <c:v>6.1</c:v>
                </c:pt>
                <c:pt idx="11">
                  <c:v>6.1</c:v>
                </c:pt>
                <c:pt idx="12">
                  <c:v>5.8</c:v>
                </c:pt>
                <c:pt idx="13">
                  <c:v>5.7</c:v>
                </c:pt>
                <c:pt idx="14">
                  <c:v>5.6</c:v>
                </c:pt>
                <c:pt idx="15">
                  <c:v>5.4</c:v>
                </c:pt>
                <c:pt idx="16">
                  <c:v>5.4</c:v>
                </c:pt>
                <c:pt idx="17">
                  <c:v>5.3</c:v>
                </c:pt>
              </c:numCache>
            </c:numRef>
          </c:val>
          <c:smooth val="0"/>
        </c:ser>
        <c:ser>
          <c:idx val="1"/>
          <c:order val="1"/>
          <c:tx>
            <c:v>Counterfactual</c:v>
          </c:tx>
          <c:marker>
            <c:symbol val="none"/>
          </c:marker>
          <c:cat>
            <c:numRef>
              <c:f>combined!$A$5:$A$22</c:f>
              <c:numCache>
                <c:formatCode>General</c:formatCode>
                <c:ptCount val="18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</c:numCache>
            </c:numRef>
          </c:cat>
          <c:val>
            <c:numRef>
              <c:f>combined!$M$5:$M$22</c:f>
              <c:numCache>
                <c:formatCode>0.00</c:formatCode>
                <c:ptCount val="18"/>
                <c:pt idx="0">
                  <c:v>3.9</c:v>
                </c:pt>
                <c:pt idx="1">
                  <c:v>4.1025213212056393</c:v>
                </c:pt>
                <c:pt idx="2">
                  <c:v>4.4206135751191162</c:v>
                </c:pt>
                <c:pt idx="3">
                  <c:v>5.3816278705177885</c:v>
                </c:pt>
                <c:pt idx="4">
                  <c:v>5.6247148128088931</c:v>
                </c:pt>
                <c:pt idx="5">
                  <c:v>6.4459363719445122</c:v>
                </c:pt>
                <c:pt idx="6">
                  <c:v>6.5696900008586745</c:v>
                </c:pt>
                <c:pt idx="7">
                  <c:v>6.1246907051395825</c:v>
                </c:pt>
                <c:pt idx="8">
                  <c:v>6.4752258260462581</c:v>
                </c:pt>
                <c:pt idx="9">
                  <c:v>6.2709365186876243</c:v>
                </c:pt>
                <c:pt idx="10">
                  <c:v>6.755396079896034</c:v>
                </c:pt>
                <c:pt idx="11">
                  <c:v>6.9303125250664133</c:v>
                </c:pt>
                <c:pt idx="12">
                  <c:v>6.4673714108385774</c:v>
                </c:pt>
                <c:pt idx="13">
                  <c:v>6.2606647019395965</c:v>
                </c:pt>
                <c:pt idx="14">
                  <c:v>6.1635318894131785</c:v>
                </c:pt>
                <c:pt idx="15">
                  <c:v>5.8822375615430964</c:v>
                </c:pt>
                <c:pt idx="16">
                  <c:v>5.6102592671780487</c:v>
                </c:pt>
                <c:pt idx="17">
                  <c:v>5.2521806489602652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4486624"/>
        <c:axId val="444487184"/>
      </c:lineChart>
      <c:catAx>
        <c:axId val="444486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44487184"/>
        <c:crosses val="autoZero"/>
        <c:auto val="1"/>
        <c:lblAlgn val="ctr"/>
        <c:lblOffset val="100"/>
        <c:noMultiLvlLbl val="0"/>
      </c:catAx>
      <c:valAx>
        <c:axId val="444487184"/>
        <c:scaling>
          <c:orientation val="minMax"/>
          <c:min val="3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444866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4</xdr:row>
      <xdr:rowOff>0</xdr:rowOff>
    </xdr:from>
    <xdr:to>
      <xdr:col>28</xdr:col>
      <xdr:colOff>304800</xdr:colOff>
      <xdr:row>18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590550</xdr:colOff>
      <xdr:row>4</xdr:row>
      <xdr:rowOff>166687</xdr:rowOff>
    </xdr:from>
    <xdr:to>
      <xdr:col>29</xdr:col>
      <xdr:colOff>285750</xdr:colOff>
      <xdr:row>19</xdr:row>
      <xdr:rowOff>52387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5</xdr:row>
      <xdr:rowOff>0</xdr:rowOff>
    </xdr:from>
    <xdr:to>
      <xdr:col>28</xdr:col>
      <xdr:colOff>304800</xdr:colOff>
      <xdr:row>19</xdr:row>
      <xdr:rowOff>76200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0</xdr:colOff>
      <xdr:row>1</xdr:row>
      <xdr:rowOff>157162</xdr:rowOff>
    </xdr:from>
    <xdr:to>
      <xdr:col>32</xdr:col>
      <xdr:colOff>428625</xdr:colOff>
      <xdr:row>14</xdr:row>
      <xdr:rowOff>52387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285750</xdr:colOff>
      <xdr:row>23</xdr:row>
      <xdr:rowOff>176212</xdr:rowOff>
    </xdr:from>
    <xdr:to>
      <xdr:col>27</xdr:col>
      <xdr:colOff>9525</xdr:colOff>
      <xdr:row>38</xdr:row>
      <xdr:rowOff>61912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257175</xdr:colOff>
      <xdr:row>38</xdr:row>
      <xdr:rowOff>85725</xdr:rowOff>
    </xdr:from>
    <xdr:to>
      <xdr:col>26</xdr:col>
      <xdr:colOff>590550</xdr:colOff>
      <xdr:row>52</xdr:row>
      <xdr:rowOff>161925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247650</xdr:colOff>
      <xdr:row>53</xdr:row>
      <xdr:rowOff>9525</xdr:rowOff>
    </xdr:from>
    <xdr:to>
      <xdr:col>26</xdr:col>
      <xdr:colOff>581025</xdr:colOff>
      <xdr:row>67</xdr:row>
      <xdr:rowOff>85725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4</xdr:row>
      <xdr:rowOff>0</xdr:rowOff>
    </xdr:from>
    <xdr:to>
      <xdr:col>28</xdr:col>
      <xdr:colOff>304800</xdr:colOff>
      <xdr:row>18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0</xdr:colOff>
      <xdr:row>19</xdr:row>
      <xdr:rowOff>0</xdr:rowOff>
    </xdr:from>
    <xdr:to>
      <xdr:col>28</xdr:col>
      <xdr:colOff>304800</xdr:colOff>
      <xdr:row>33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0</xdr:colOff>
      <xdr:row>34</xdr:row>
      <xdr:rowOff>0</xdr:rowOff>
    </xdr:from>
    <xdr:to>
      <xdr:col>28</xdr:col>
      <xdr:colOff>304800</xdr:colOff>
      <xdr:row>48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29</xdr:col>
      <xdr:colOff>0</xdr:colOff>
      <xdr:row>4</xdr:row>
      <xdr:rowOff>0</xdr:rowOff>
    </xdr:from>
    <xdr:to>
      <xdr:col>35</xdr:col>
      <xdr:colOff>276225</xdr:colOff>
      <xdr:row>18</xdr:row>
      <xdr:rowOff>47625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29</xdr:col>
      <xdr:colOff>0</xdr:colOff>
      <xdr:row>19</xdr:row>
      <xdr:rowOff>0</xdr:rowOff>
    </xdr:from>
    <xdr:to>
      <xdr:col>35</xdr:col>
      <xdr:colOff>276225</xdr:colOff>
      <xdr:row>33</xdr:row>
      <xdr:rowOff>47625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29</xdr:col>
      <xdr:colOff>0</xdr:colOff>
      <xdr:row>34</xdr:row>
      <xdr:rowOff>0</xdr:rowOff>
    </xdr:from>
    <xdr:to>
      <xdr:col>35</xdr:col>
      <xdr:colOff>276225</xdr:colOff>
      <xdr:row>48</xdr:row>
      <xdr:rowOff>47625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28575</xdr:colOff>
      <xdr:row>2</xdr:row>
      <xdr:rowOff>4762</xdr:rowOff>
    </xdr:from>
    <xdr:to>
      <xdr:col>23</xdr:col>
      <xdr:colOff>333375</xdr:colOff>
      <xdr:row>16</xdr:row>
      <xdr:rowOff>80962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28575</xdr:colOff>
      <xdr:row>16</xdr:row>
      <xdr:rowOff>100012</xdr:rowOff>
    </xdr:from>
    <xdr:to>
      <xdr:col>23</xdr:col>
      <xdr:colOff>333375</xdr:colOff>
      <xdr:row>30</xdr:row>
      <xdr:rowOff>176212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2</xdr:row>
      <xdr:rowOff>14287</xdr:rowOff>
    </xdr:from>
    <xdr:to>
      <xdr:col>28</xdr:col>
      <xdr:colOff>304800</xdr:colOff>
      <xdr:row>16</xdr:row>
      <xdr:rowOff>90487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0</xdr:colOff>
      <xdr:row>17</xdr:row>
      <xdr:rowOff>0</xdr:rowOff>
    </xdr:from>
    <xdr:to>
      <xdr:col>28</xdr:col>
      <xdr:colOff>304800</xdr:colOff>
      <xdr:row>31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1"/>
  <sheetViews>
    <sheetView topLeftCell="A58" workbookViewId="0">
      <selection activeCell="N6" sqref="N6"/>
    </sheetView>
  </sheetViews>
  <sheetFormatPr defaultRowHeight="14.4" x14ac:dyDescent="0.3"/>
  <cols>
    <col min="1" max="1" width="11.33203125" style="6" customWidth="1"/>
    <col min="2" max="2" width="9.88671875" style="6" customWidth="1"/>
    <col min="3" max="3" width="10.5546875" style="6" customWidth="1"/>
    <col min="4" max="4" width="9.109375" style="7"/>
    <col min="5" max="5" width="3.33203125" style="12" customWidth="1"/>
    <col min="6" max="9" width="9.109375" style="12"/>
    <col min="10" max="10" width="3" style="13" customWidth="1"/>
    <col min="11" max="11" width="2.5546875" customWidth="1"/>
    <col min="14" max="14" width="11" customWidth="1"/>
  </cols>
  <sheetData>
    <row r="1" spans="1:15" x14ac:dyDescent="0.3">
      <c r="A1" s="6" t="s">
        <v>6</v>
      </c>
      <c r="F1" s="12" t="s">
        <v>5</v>
      </c>
      <c r="L1" t="s">
        <v>9</v>
      </c>
    </row>
    <row r="2" spans="1:15" x14ac:dyDescent="0.3">
      <c r="A2" s="6" t="s">
        <v>7</v>
      </c>
      <c r="F2" s="12" t="s">
        <v>8</v>
      </c>
    </row>
    <row r="3" spans="1:15" x14ac:dyDescent="0.3">
      <c r="M3" t="s">
        <v>11</v>
      </c>
      <c r="N3" t="s">
        <v>13</v>
      </c>
      <c r="O3" t="s">
        <v>16</v>
      </c>
    </row>
    <row r="4" spans="1:15" s="4" customFormat="1" x14ac:dyDescent="0.3">
      <c r="A4" s="8"/>
      <c r="B4" s="8" t="s">
        <v>0</v>
      </c>
      <c r="C4" s="8" t="s">
        <v>1</v>
      </c>
      <c r="D4" s="9"/>
      <c r="E4" s="14"/>
      <c r="F4" s="14"/>
      <c r="G4" s="14" t="s">
        <v>3</v>
      </c>
      <c r="H4" s="14" t="s">
        <v>4</v>
      </c>
      <c r="I4" s="14" t="s">
        <v>2</v>
      </c>
      <c r="J4" s="15"/>
      <c r="L4" s="16" t="s">
        <v>10</v>
      </c>
      <c r="M4" s="4" t="s">
        <v>12</v>
      </c>
      <c r="N4" s="4" t="s">
        <v>14</v>
      </c>
      <c r="O4" s="4" t="s">
        <v>15</v>
      </c>
    </row>
    <row r="5" spans="1:15" x14ac:dyDescent="0.3">
      <c r="A5" s="10">
        <v>24838</v>
      </c>
      <c r="B5" s="11">
        <v>3.7</v>
      </c>
      <c r="C5" s="6">
        <v>0</v>
      </c>
      <c r="F5" s="12">
        <v>1</v>
      </c>
      <c r="G5" s="12">
        <v>0.97132165665518599</v>
      </c>
      <c r="H5" s="12">
        <v>-5.0798065020768501E-2</v>
      </c>
      <c r="I5" s="12">
        <v>0.116203295751691</v>
      </c>
      <c r="L5" s="17">
        <v>0</v>
      </c>
      <c r="M5">
        <v>1</v>
      </c>
      <c r="N5">
        <f>0</f>
        <v>0</v>
      </c>
      <c r="O5">
        <v>0</v>
      </c>
    </row>
    <row r="6" spans="1:15" x14ac:dyDescent="0.3">
      <c r="A6" s="10">
        <v>24869</v>
      </c>
      <c r="B6" s="11">
        <v>3.8</v>
      </c>
      <c r="C6" s="6">
        <v>0</v>
      </c>
      <c r="F6" s="12">
        <v>2</v>
      </c>
      <c r="G6" s="12">
        <v>0.17193252591855199</v>
      </c>
      <c r="H6" s="12">
        <v>1.8920987941651299E-2</v>
      </c>
      <c r="L6" s="18">
        <v>1</v>
      </c>
      <c r="M6">
        <v>0</v>
      </c>
      <c r="N6">
        <f>G$5*N5+H$5*M5</f>
        <v>-5.0798065020768501E-2</v>
      </c>
      <c r="O6">
        <v>-5.0798065020751897E-2</v>
      </c>
    </row>
    <row r="7" spans="1:15" x14ac:dyDescent="0.3">
      <c r="A7" s="10">
        <v>24898</v>
      </c>
      <c r="B7" s="11">
        <v>3.7</v>
      </c>
      <c r="C7" s="6">
        <v>0</v>
      </c>
      <c r="F7" s="12">
        <v>3</v>
      </c>
      <c r="G7" s="12">
        <v>3.2012325767390597E-2</v>
      </c>
      <c r="H7" s="12">
        <v>-1.09532845050231E-2</v>
      </c>
      <c r="L7" s="18">
        <v>2</v>
      </c>
      <c r="M7">
        <v>0</v>
      </c>
      <c r="N7">
        <f>G$5*N6+G$6*N5+H$5*M6+H$6*M5</f>
        <v>-3.0420272729199414E-2</v>
      </c>
      <c r="O7">
        <v>-3.04202727289772E-2</v>
      </c>
    </row>
    <row r="8" spans="1:15" x14ac:dyDescent="0.3">
      <c r="A8" s="10">
        <v>24929</v>
      </c>
      <c r="B8" s="11">
        <v>3.5</v>
      </c>
      <c r="C8" s="6">
        <v>0</v>
      </c>
      <c r="F8" s="12">
        <v>4</v>
      </c>
      <c r="G8" s="12">
        <v>-4.1751144496329697E-2</v>
      </c>
      <c r="H8" s="12">
        <v>-1.3412907958196701E-2</v>
      </c>
      <c r="L8" s="18">
        <v>3</v>
      </c>
      <c r="M8">
        <v>0</v>
      </c>
      <c r="N8">
        <f>G$5*N7+G$6*N6+G$7*N5+H$5*M7+H$6*M6+H$7*M5</f>
        <v>-4.9234993839047225E-2</v>
      </c>
      <c r="O8">
        <v>-4.9234993835752999E-2</v>
      </c>
    </row>
    <row r="9" spans="1:15" x14ac:dyDescent="0.3">
      <c r="A9" s="10">
        <v>24959</v>
      </c>
      <c r="B9" s="11">
        <v>3.5</v>
      </c>
      <c r="C9" s="6">
        <v>0</v>
      </c>
      <c r="F9" s="12">
        <v>5</v>
      </c>
      <c r="G9" s="12">
        <v>-7.7196156434740607E-2</v>
      </c>
      <c r="H9" s="12">
        <v>5.9080706844004197E-2</v>
      </c>
      <c r="L9" s="18">
        <v>4</v>
      </c>
      <c r="M9">
        <v>0</v>
      </c>
      <c r="N9">
        <f>G$5*N8+G$6*N7+G$7*N6+G$8*N5+H$5*M8+H$6*M7+H$7*M6+H$8*M5</f>
        <v>-6.8092322274608361E-2</v>
      </c>
      <c r="O9">
        <v>-6.8092322288000301E-2</v>
      </c>
    </row>
    <row r="10" spans="1:15" x14ac:dyDescent="0.3">
      <c r="A10" s="10">
        <v>24990</v>
      </c>
      <c r="B10" s="11">
        <v>3.7</v>
      </c>
      <c r="C10" s="6">
        <v>0</v>
      </c>
      <c r="F10" s="12">
        <v>6</v>
      </c>
      <c r="G10" s="12">
        <v>8.2494470788330495E-3</v>
      </c>
      <c r="H10" s="12">
        <v>3.4696330464081403E-2</v>
      </c>
      <c r="L10" s="18">
        <f>L9+1</f>
        <v>5</v>
      </c>
      <c r="M10">
        <v>0</v>
      </c>
      <c r="N10">
        <f>G$5*N9+G$6*N8+G$7*N7+G$8*N6+G$9*N5+H$5*M9+H$6*M8+H$7*M7+H$8*M6+H$9*M5</f>
        <v>-1.4376883615322897E-2</v>
      </c>
      <c r="O10">
        <v>-1.43768836553452E-2</v>
      </c>
    </row>
    <row r="11" spans="1:15" x14ac:dyDescent="0.3">
      <c r="A11" s="10">
        <v>25020</v>
      </c>
      <c r="B11" s="11">
        <v>3.7</v>
      </c>
      <c r="C11" s="6">
        <v>0</v>
      </c>
      <c r="F11" s="12">
        <v>7</v>
      </c>
      <c r="G11" s="12">
        <v>-6.7693214313629901E-2</v>
      </c>
      <c r="H11" s="12">
        <v>3.3556428170122499E-2</v>
      </c>
      <c r="L11" s="18">
        <f t="shared" ref="L11:L74" si="0">L10+1</f>
        <v>6</v>
      </c>
      <c r="M11">
        <v>0</v>
      </c>
      <c r="N11">
        <f>G$5*N10+G$6*N9+G$7*N8+G$8*N7+G$9*N6+G$10*N5+H$5*M10+H$6*M9+H$7*M8+H$8*M7+H$9*M6+H$10*M5</f>
        <v>1.2639837003302554E-2</v>
      </c>
      <c r="O11">
        <v>1.2639836928129901E-2</v>
      </c>
    </row>
    <row r="12" spans="1:15" x14ac:dyDescent="0.3">
      <c r="A12" s="10">
        <v>25051</v>
      </c>
      <c r="B12" s="11">
        <v>3.5</v>
      </c>
      <c r="C12" s="6">
        <v>0</v>
      </c>
      <c r="F12" s="12">
        <v>8</v>
      </c>
      <c r="G12" s="12">
        <v>3.79096494416484E-3</v>
      </c>
      <c r="H12" s="12">
        <v>-1.12366172257329E-2</v>
      </c>
      <c r="L12" s="18">
        <f t="shared" si="0"/>
        <v>7</v>
      </c>
      <c r="M12">
        <v>0</v>
      </c>
      <c r="N12">
        <f>G$5*N11+G$6*N10+G$7*N9+G$8*N8+G$9*N7+G$10*N6+G$11*N5+H$5*M11+H$6*M10+H$7*M9+H$8*M8+H$9*M7+H$10*M6+H$11*M5</f>
        <v>4.5167017595634198E-2</v>
      </c>
      <c r="O12">
        <v>4.5167017469739702E-2</v>
      </c>
    </row>
    <row r="13" spans="1:15" x14ac:dyDescent="0.3">
      <c r="A13" s="10">
        <v>25082</v>
      </c>
      <c r="B13" s="11">
        <v>3.4</v>
      </c>
      <c r="C13" s="6">
        <v>0</v>
      </c>
      <c r="F13" s="12">
        <v>9</v>
      </c>
      <c r="G13" s="12">
        <v>1.9047712583310901E-2</v>
      </c>
      <c r="H13" s="12">
        <v>-8.4348657422356095E-3</v>
      </c>
      <c r="L13" s="18">
        <f t="shared" si="0"/>
        <v>8</v>
      </c>
      <c r="M13">
        <v>0</v>
      </c>
      <c r="N13">
        <f>G$5*N12+G$6*N11+G$7*N10+G$8*N9+G$9*N8+G$10*N7+G$11*N6+G$12*N5+H$5*M12+H$6*M11+H$7*M10+H$8*M9+H$9*M8+H$10*M7+H$11*M6+H$12*M5</f>
        <v>4.4179465297801243E-2</v>
      </c>
      <c r="O13">
        <v>4.4179465121108902E-2</v>
      </c>
    </row>
    <row r="14" spans="1:15" x14ac:dyDescent="0.3">
      <c r="A14" s="10">
        <v>25112</v>
      </c>
      <c r="B14" s="11">
        <v>3.4</v>
      </c>
      <c r="C14" s="6">
        <v>0</v>
      </c>
      <c r="F14" s="12">
        <v>10</v>
      </c>
      <c r="G14" s="12">
        <v>-6.3387531946679301E-2</v>
      </c>
      <c r="H14" s="12">
        <v>4.14180336912549E-2</v>
      </c>
      <c r="L14" s="18">
        <f t="shared" si="0"/>
        <v>9</v>
      </c>
      <c r="M14">
        <v>0</v>
      </c>
      <c r="N14">
        <f>G$5*N13+G$6*N12+G$7*N11+G$8*N10+G$9*N9+G$10*N8+G$11*N7+G$12*N6+G$13*N5+H$5*M13+H$6*M12+H$7*M11+H$8*M10+H$9*M9+H$10*M8+H$11*M7+H$12*M6+H$13*M5</f>
        <v>4.9965143473241935E-2</v>
      </c>
      <c r="O14">
        <v>4.9965143400202902E-2</v>
      </c>
    </row>
    <row r="15" spans="1:15" x14ac:dyDescent="0.3">
      <c r="A15" s="10">
        <v>25143</v>
      </c>
      <c r="B15" s="11">
        <v>3.4</v>
      </c>
      <c r="C15" s="6">
        <v>0</v>
      </c>
      <c r="F15" s="12">
        <v>11</v>
      </c>
      <c r="G15" s="12">
        <v>0.14179562314265201</v>
      </c>
      <c r="H15" s="12">
        <v>2.6352124104481001E-2</v>
      </c>
      <c r="L15" s="18">
        <f t="shared" si="0"/>
        <v>10</v>
      </c>
      <c r="M15">
        <v>0</v>
      </c>
      <c r="N15">
        <f>G$5*N14+G$6*N13+G$7*N12+G$8*N11+G$9*N10+G$10*N9+G$11*N8+G$12*N7+G$13*N6+G$14*N5+H$5*M14+H$6*M13+H$7*M12+H$8*M11+H$9*M10+H$10*M9+H$11*M8+H$12*M7+H$13*M6+H$14*M5</f>
        <v>0.10126240231455616</v>
      </c>
      <c r="O15">
        <v>0.101262402417696</v>
      </c>
    </row>
    <row r="16" spans="1:15" x14ac:dyDescent="0.3">
      <c r="A16" s="10">
        <v>25173</v>
      </c>
      <c r="B16" s="11">
        <v>3.4</v>
      </c>
      <c r="C16" s="6">
        <v>0</v>
      </c>
      <c r="F16" s="12">
        <v>12</v>
      </c>
      <c r="G16" s="12">
        <v>-0.220190716487557</v>
      </c>
      <c r="H16" s="12">
        <v>3.9486867049303702E-2</v>
      </c>
      <c r="L16" s="18">
        <f t="shared" si="0"/>
        <v>11</v>
      </c>
      <c r="M16">
        <v>0</v>
      </c>
      <c r="N16">
        <f>G$5*N15+G$6*N14+G$7*N13+G$8*N12+G$9*N11+G$10*N10+G$11*N9+G$12*N8+G$13*N7+G$14*N6+G$15*N5+H$5*M15+H$6*M14+H$7*M13+H$8*M12+H$9*M11+H$10*M10+H$11*M9+H$12*M8+H$13*M7+H$14*M6+H$15*M5</f>
        <v>0.13879855377171557</v>
      </c>
      <c r="O16">
        <v>0.13879855401493299</v>
      </c>
    </row>
    <row r="17" spans="1:15" x14ac:dyDescent="0.3">
      <c r="A17" s="10">
        <v>25204</v>
      </c>
      <c r="B17" s="11">
        <v>3.4</v>
      </c>
      <c r="C17" s="6">
        <v>0</v>
      </c>
      <c r="F17" s="12">
        <f>F16+1</f>
        <v>13</v>
      </c>
      <c r="G17" s="12">
        <v>4.1647455402133701E-2</v>
      </c>
      <c r="H17" s="12">
        <v>-5.0517557020260798E-2</v>
      </c>
      <c r="L17" s="18">
        <f t="shared" si="0"/>
        <v>12</v>
      </c>
      <c r="M17">
        <v>0</v>
      </c>
      <c r="N17">
        <f>G$5*N16+G$6*N15+G$7*N14+G$8*N13+G$9*N12+G$10*N11+G$11*N10+G$12*N9+G$13*N8+G$14*N7+G$15*N6+G$16*N5+H$5*M16+H$6*M15+H$7*M14+H$8*M13+H$9*M12+H$10*M11+H$11*M10+H$12*M9+H$13*M8+H$14*M7+H$15*M6+H$16*M5</f>
        <v>0.18259030814233909</v>
      </c>
      <c r="O17">
        <v>0.18259030869541601</v>
      </c>
    </row>
    <row r="18" spans="1:15" x14ac:dyDescent="0.3">
      <c r="A18" s="10">
        <v>25235</v>
      </c>
      <c r="B18" s="11">
        <v>3.4</v>
      </c>
      <c r="C18" s="6">
        <v>0</v>
      </c>
      <c r="F18" s="12">
        <f t="shared" ref="F18:F40" si="1">F17+1</f>
        <v>14</v>
      </c>
      <c r="G18" s="12">
        <v>-7.8565737942714001E-2</v>
      </c>
      <c r="H18" s="12">
        <v>-9.6150662902674301E-3</v>
      </c>
      <c r="L18" s="18">
        <f t="shared" si="0"/>
        <v>13</v>
      </c>
      <c r="M18">
        <v>0</v>
      </c>
      <c r="N18">
        <f>G$5*N17+G$6*N16+G$7*N15+G$8*N14+G$9*N13+G$10*N12+G$11*N11+G$12*N10+G$13*N9+G$14*N8+G$15*N7+G$16*N6+G$17*N5+H$5*M17+H$6*M16+H$7*M15+H$8*M14+H$9*M13+H$10*M12+H$11*M11+H$12*M10+H$13*M9+H$14*M8+H$15*M7+H$16*M6+H$17*M5</f>
        <v>0.15660355971993511</v>
      </c>
      <c r="O18">
        <v>0.15660356051379501</v>
      </c>
    </row>
    <row r="19" spans="1:15" x14ac:dyDescent="0.3">
      <c r="A19" s="10">
        <v>25263</v>
      </c>
      <c r="B19" s="11">
        <v>3.4</v>
      </c>
      <c r="C19" s="6">
        <v>-0.225559231647113</v>
      </c>
      <c r="F19" s="12">
        <f t="shared" si="1"/>
        <v>15</v>
      </c>
      <c r="G19" s="12">
        <v>0.14423426554972599</v>
      </c>
      <c r="H19" s="12">
        <v>-1.18386675031509E-2</v>
      </c>
      <c r="L19" s="18">
        <f t="shared" si="0"/>
        <v>14</v>
      </c>
      <c r="M19">
        <v>0</v>
      </c>
      <c r="N19">
        <f>G$5*N18+G$6*N17+G$7*N16+G$8*N15+G$9*N14+G$10*N13+G$11*N12+G$12*N11+G$13*N10+G$14*N9+G$15*N8+G$16*N7+G$17*N6+G$18*N5+H$5*M18+H$6*M17+H$7*M16+H$8*M15+H$9*M14+H$10*M13+H$11*M12+H$12*M11+H$13*M10+H$14*M9+H$15*M8+H$16*M7+H$17*M6+H$18*M5</f>
        <v>0.16924747707177895</v>
      </c>
      <c r="O19">
        <v>0.169247477939138</v>
      </c>
    </row>
    <row r="20" spans="1:15" x14ac:dyDescent="0.3">
      <c r="A20" s="10">
        <v>25294</v>
      </c>
      <c r="B20" s="11">
        <v>3.4</v>
      </c>
      <c r="C20" s="6">
        <v>0.46386746685158298</v>
      </c>
      <c r="F20" s="12">
        <f t="shared" si="1"/>
        <v>16</v>
      </c>
      <c r="G20" s="12">
        <v>8.3197230368548397E-2</v>
      </c>
      <c r="H20" s="12">
        <v>-3.0026620796342E-2</v>
      </c>
      <c r="L20" s="18">
        <f t="shared" si="0"/>
        <v>15</v>
      </c>
      <c r="M20">
        <v>0</v>
      </c>
      <c r="N20">
        <f>G$5*N19+G$6*N18+G$7*N17+G$8*N16+G$9*N15+G$10*N14+G$11*N13+G$12*N12+G$13*N11+G$14*N10+G$15*N9+G$16*N8+G$17*N7+G$18*N6+G$19*N5+H$5*M19+H$6*M18+H$7*M17+H$8*M16+H$9*M15+H$10*M14+H$11*M13+H$12*M12+H$13*M11+H$14*M10+H$15*M9+H$16*M8+H$17*M7+H$18*M6+H$19*M5</f>
        <v>0.17436818394365941</v>
      </c>
      <c r="O20">
        <v>0.17436818493565401</v>
      </c>
    </row>
    <row r="21" spans="1:15" x14ac:dyDescent="0.3">
      <c r="A21" s="10">
        <v>25324</v>
      </c>
      <c r="B21" s="11">
        <v>3.4</v>
      </c>
      <c r="C21" s="6">
        <v>0.22115316746647301</v>
      </c>
      <c r="F21" s="12">
        <f t="shared" si="1"/>
        <v>17</v>
      </c>
      <c r="G21" s="12">
        <v>-7.2815925492130201E-2</v>
      </c>
      <c r="H21" s="12">
        <v>9.8576495093000201E-3</v>
      </c>
      <c r="L21" s="18">
        <f t="shared" si="0"/>
        <v>16</v>
      </c>
      <c r="M21">
        <v>0</v>
      </c>
      <c r="N21">
        <f>G$5*N20+G$6*N19+G$7*N18+G$8*N17+G$9*N16+G$10*N15+G$11*N14+G$12*N13+G$13*N12+G$14*N11+G$15*N10+G$16*N9+G$17*N8+G$18*N7+G$19*N6+G$20*N5+H$5*M20+H$6*M19+H$7*M18+H$8*M17+H$9*M16+H$10*M15+H$11*M14+H$12*M13+H$13*M12+H$14*M11+H$15*M10+H$16*M9+H$17*M8+H$18*M7+H$19*M6+H$20*M5</f>
        <v>0.15876232988827005</v>
      </c>
      <c r="O21">
        <v>0.15876233099966</v>
      </c>
    </row>
    <row r="22" spans="1:15" x14ac:dyDescent="0.3">
      <c r="A22" s="10">
        <v>25355</v>
      </c>
      <c r="B22" s="11">
        <v>3.5</v>
      </c>
      <c r="C22" s="6">
        <v>5.44126349088663E-3</v>
      </c>
      <c r="F22" s="12">
        <f t="shared" si="1"/>
        <v>18</v>
      </c>
      <c r="G22" s="12">
        <v>1.29874536664264E-2</v>
      </c>
      <c r="H22" s="12">
        <v>4.8930777648494697E-2</v>
      </c>
      <c r="L22" s="18">
        <f t="shared" si="0"/>
        <v>17</v>
      </c>
      <c r="M22">
        <v>0</v>
      </c>
      <c r="N22">
        <f>G$5*N21+G$6*N20+G$7*N19+G$8*N18+G$9*N17+G$10*N16+G$11*N15+G$12*N14+G$13*N13+G$14*N12+G$15*N11+G$16*N10+G$17*N9+G$18*N8+G$19*N7+G$20*N6+G$21*N5+H$5*M21+H$6*M20+H$7*M19+H$8*M18+H$9*M17+H$10*M16+H$11*M15+H$12*M14+H$13*M13+H$14*M12+H$15*M11+H$16*M10+H$17*M9+H$18*M8+H$19*M7+H$20*M6+H$21*M5</f>
        <v>0.1686653380659805</v>
      </c>
      <c r="O22">
        <v>0.16866533922588101</v>
      </c>
    </row>
    <row r="23" spans="1:15" x14ac:dyDescent="0.3">
      <c r="A23" s="10">
        <v>25385</v>
      </c>
      <c r="B23" s="11">
        <v>3.5</v>
      </c>
      <c r="C23" s="6">
        <v>0.180279261186582</v>
      </c>
      <c r="F23" s="12">
        <f t="shared" si="1"/>
        <v>19</v>
      </c>
      <c r="G23" s="12">
        <v>2.44131273447581E-2</v>
      </c>
      <c r="H23" s="12">
        <v>2.4252080980813401E-2</v>
      </c>
      <c r="L23" s="18">
        <f t="shared" si="0"/>
        <v>18</v>
      </c>
      <c r="M23">
        <v>0</v>
      </c>
      <c r="N23">
        <f>G$5*N22+G$6*N21+G$7*N20+G$8*N19+G$9*N18+G$10*N17+G$11*N16+G$12*N15+G$13*N14+G$14*N13+G$15*N12+G$16*N11+G$17*N10+G$18*N9+G$19*N8+G$20*N7+G$21*N6+G$22*N5+H$5*M22+H$6*M21+H$7*M20+H$8*M19+H$9*M18+H$10*M17+H$11*M16+H$12*M15+H$13*M14+H$14*M13+H$15*M12+H$16*M11+H$17*M10+H$18*M9+H$19*M8+H$20*M7+H$21*M6+H$22*M5</f>
        <v>0.21956659553059427</v>
      </c>
      <c r="O23">
        <v>0.21956659653556199</v>
      </c>
    </row>
    <row r="24" spans="1:15" x14ac:dyDescent="0.3">
      <c r="A24" s="10">
        <v>25416</v>
      </c>
      <c r="B24" s="11">
        <v>3.5</v>
      </c>
      <c r="C24" s="6">
        <v>0.29949034940077701</v>
      </c>
      <c r="F24" s="12">
        <f t="shared" si="1"/>
        <v>20</v>
      </c>
      <c r="G24" s="12">
        <v>-5.7319371233362303E-2</v>
      </c>
      <c r="H24" s="12">
        <v>3.2762188897438503E-2</v>
      </c>
      <c r="L24" s="18">
        <f t="shared" si="0"/>
        <v>19</v>
      </c>
      <c r="M24">
        <v>0</v>
      </c>
      <c r="N24">
        <f>G$5*N23+G$6*N22+G$7*N21+G$8*N20+G$9*N19+G$10*N18+G$11*N17+G$12*N16+G$13*N15+G$14*N14+G$15*N13+G$16*N12+G$17*N11+G$18*N10+G$19*N9+G$20*N8+G$21*N7+G$22*N6+G$23*N5+H$5*M23+H$6*M22+H$7*M21+H$8*M20+H$9*M19+H$10*M18+H$11*M17+H$12*M16+H$13*M15+H$14*M14+H$15*M13+H$16*M12+H$17*M11+H$18*M10+H$19*M9+H$20*M8+H$21*M7+H$22*M6+H$23*M5</f>
        <v>0.2250904776902635</v>
      </c>
      <c r="O24">
        <v>0.22509047827589199</v>
      </c>
    </row>
    <row r="25" spans="1:15" x14ac:dyDescent="0.3">
      <c r="A25" s="10">
        <v>25447</v>
      </c>
      <c r="B25" s="11">
        <v>3.7</v>
      </c>
      <c r="C25" s="6">
        <v>1.8679818728626799E-2</v>
      </c>
      <c r="F25" s="12">
        <f t="shared" si="1"/>
        <v>21</v>
      </c>
      <c r="G25" s="12">
        <v>4.3042009740897599E-2</v>
      </c>
      <c r="H25" s="12">
        <v>-3.1267653525346301E-2</v>
      </c>
      <c r="L25" s="18">
        <f t="shared" si="0"/>
        <v>20</v>
      </c>
      <c r="M25">
        <v>0</v>
      </c>
      <c r="N25">
        <f>G$5*N24+G$6*N23+G$7*N22+G$8*N21+G$9*N20+G$10*N19+G$11*N18+G$12*N17+G$13*N16+G$14*N15+G$15*N14+G$16*N13+G$17*N12+G$18*N11+G$19*N10+G$20*N9+G$21*N8+G$22*N7+G$23*N6+G$24*N5+H$5*M24+H$6*M23+H$7*M22+H$8*M21+H$9*M20+H$10*M19+H$11*M18+H$12*M17+H$13*M16+H$14*M15+H$15*M14+H$16*M13+H$17*M12+H$18*M11+H$19*M10+H$20*M9+H$21*M8+H$22*M7+H$23*M6+H$24*M5</f>
        <v>0.25462690758263989</v>
      </c>
      <c r="O25">
        <v>0.25462690761673501</v>
      </c>
    </row>
    <row r="26" spans="1:15" x14ac:dyDescent="0.3">
      <c r="A26" s="10">
        <v>25477</v>
      </c>
      <c r="B26" s="11">
        <v>3.7</v>
      </c>
      <c r="C26" s="6">
        <v>0.1160405723472524</v>
      </c>
      <c r="F26" s="12">
        <f t="shared" si="1"/>
        <v>22</v>
      </c>
      <c r="G26" s="12">
        <v>-1.01988938661373E-2</v>
      </c>
      <c r="H26" s="12">
        <v>4.6005498801310503E-2</v>
      </c>
      <c r="L26" s="18">
        <f t="shared" si="0"/>
        <v>21</v>
      </c>
      <c r="M26">
        <v>0</v>
      </c>
      <c r="N26">
        <f>G$5*N25+G$6*N24+G$7*N23+G$8*N22+G$9*N21+G$10*N20+G$11*N19+G$12*N18+G$13*N17+G$14*N16+G$15*N15+G$16*N14+G$17*N13+G$18*N12+G$19*N11+G$20*N10+G$21*N9+G$22*N8+G$23*N7+G$24*N6+G$25*N5+H$5*M25+H$6*M24+H$7*M23+H$8*M22+H$9*M21+H$10*M20+H$11*M19+H$12*M18+H$13*M17+H$14*M16+H$15*M15+H$16*M14+H$17*M13+H$18*M12+H$19*M11+H$20*M10+H$21*M9+H$22*M8+H$23*M7+H$24*M6+H$25*M5</f>
        <v>0.23650631438344269</v>
      </c>
      <c r="O26">
        <v>0.23650631377822301</v>
      </c>
    </row>
    <row r="27" spans="1:15" x14ac:dyDescent="0.3">
      <c r="A27" s="10">
        <v>25508</v>
      </c>
      <c r="B27" s="11">
        <v>3.5</v>
      </c>
      <c r="C27" s="6">
        <v>1.2585825038238199E-2</v>
      </c>
      <c r="F27" s="12">
        <f t="shared" si="1"/>
        <v>23</v>
      </c>
      <c r="G27" s="12">
        <v>2.8621138864871699E-2</v>
      </c>
      <c r="H27" s="12">
        <v>4.05654399137911E-2</v>
      </c>
      <c r="L27" s="18">
        <f t="shared" si="0"/>
        <v>22</v>
      </c>
      <c r="M27">
        <v>0</v>
      </c>
      <c r="N27">
        <f>G$5*N26+G$6*N25+G$7*N24+G$8*N23+G$9*N22+G$10*N21+G$11*N20+G$12*N19+G$13*N18+G$14*N17+G$15*N16+G$16*N15+G$17*N14+G$18*N13+G$19*N12+G$20*N11+G$21*N10+G$22*N9+G$23*N8+G$24*N7+G$25*N6+G$26*N5+H$5*M26+H$6*M25+H$7*M24+H$8*M23+H$9*M22+H$10*M21+H$11*M20+H$12*M19+H$13*M18+H$14*M17+H$15*M16+H$16*M15+H$17*M14+H$18*M13+H$19*M12+H$20*M11+H$21*M10+H$22*M9+H$23*M8+H$24*M7+H$25*M6+H$26*M5</f>
        <v>0.28816071541960153</v>
      </c>
      <c r="O27">
        <v>0.28816071418165401</v>
      </c>
    </row>
    <row r="28" spans="1:15" x14ac:dyDescent="0.3">
      <c r="A28" s="10">
        <v>25538</v>
      </c>
      <c r="B28" s="11">
        <v>3.5</v>
      </c>
      <c r="C28" s="6">
        <v>6.7130194279194699E-2</v>
      </c>
      <c r="F28" s="12">
        <f t="shared" si="1"/>
        <v>24</v>
      </c>
      <c r="G28" s="12">
        <v>-5.5855041824478001E-2</v>
      </c>
      <c r="H28" s="12">
        <v>4.2776729900653503E-2</v>
      </c>
      <c r="L28" s="18">
        <f t="shared" si="0"/>
        <v>23</v>
      </c>
      <c r="M28">
        <v>0</v>
      </c>
      <c r="N28">
        <f>G$5*N27+G$6*N26+G$7*N25+G$8*N24+G$9*N23+G$10*N22+G$11*N21+G$12*N20+G$13*N19+G$14*N18+G$15*N17+G$16*N16+G$17*N15+G$18*N14+G$19*N13+G$20*N12+G$21*N11+G$22*N10+G$23*N9+G$24*N8+G$25*N7+G$26*N6+G$27*N5+H$5*M27+H$6*M26+H$7*M25+H$8*M24+H$9*M23+H$10*M22+H$11*M21+H$12*M20+H$13*M19+H$14*M18+H$15*M17+H$16*M16+H$17*M15+H$18*M14+H$19*M13+H$20*M12+H$21*M11+H$22*M10+H$23*M9+H$24*M8+H$25*M7+H$26*M6+H$27*M5</f>
        <v>0.33254287605814709</v>
      </c>
      <c r="O28">
        <v>0.33254287417905798</v>
      </c>
    </row>
    <row r="29" spans="1:15" x14ac:dyDescent="0.3">
      <c r="A29" s="10">
        <v>25569</v>
      </c>
      <c r="B29" s="11">
        <v>3.9</v>
      </c>
      <c r="C29" s="6">
        <v>-0.121234438396602</v>
      </c>
      <c r="F29" s="12">
        <f t="shared" si="1"/>
        <v>25</v>
      </c>
      <c r="H29" s="12">
        <v>3.7082383633426003E-2</v>
      </c>
      <c r="L29" s="18">
        <f t="shared" si="0"/>
        <v>24</v>
      </c>
      <c r="M29">
        <v>0</v>
      </c>
      <c r="N29">
        <f>G$5*N28+G$6*N27+G$7*N26+G$8*N25+G$9*N24+G$10*N23+G$11*N22+G$12*N21+G$13*N20+G$14*N19+G$15*N18+G$16*N17+G$17*N16+G$18*N15+G$19*N14+G$20*N13+G$21*N12+G$22*N11+G$23*N10+G$24*N9+G$25*N8+G$26*N7+G$27*N6+G$28*N5+H$5*M28+H$6*M27+H$7*M26+H$8*M25+H$9*M24+H$10*M23+H$11*M22+H$12*M21+H$13*M20+H$14*M19+H$15*M18+H$16*M17+H$17*M16+H$18*M15+H$19*M14+H$20*M13+H$21*M12+H$22*M11+H$23*M10+H$24*M9+H$25*M8+H$26*M7+H$27*M6+H$28*M5</f>
        <v>0.36635250304461692</v>
      </c>
      <c r="O29">
        <v>0.36635250041640099</v>
      </c>
    </row>
    <row r="30" spans="1:15" x14ac:dyDescent="0.3">
      <c r="A30" s="10">
        <v>25600</v>
      </c>
      <c r="B30" s="11">
        <v>4.2</v>
      </c>
      <c r="C30" s="6">
        <v>-0.34626007216518301</v>
      </c>
      <c r="F30" s="12">
        <f t="shared" si="1"/>
        <v>26</v>
      </c>
      <c r="H30" s="12">
        <v>-3.9905718272175698E-2</v>
      </c>
      <c r="L30" s="18">
        <f t="shared" si="0"/>
        <v>25</v>
      </c>
      <c r="M30">
        <v>0</v>
      </c>
      <c r="N30">
        <f>G$5*N29+G$6*N28+G$7*N27+G$8*N26+G$9*N25+G$10*N24+G$11*N23+G$12*N22+G$13*N21+G$14*N20+G$15*N19+G$16*N18+G$17*N17+G$18*N16+G$19*N15+G$20*N14+G$21*N13+G$22*N12+G$23*N11+G$24*N10+G$25*N9+G$26*N8+G$27*N7+G$28*N6+G$29*N5+H$5*M29+H$6*M28+H$7*M27+H$8*M26+H$9*M25+H$10*M24+H$11*M23+H$12*M22+H$13*M21+H$14*M20+H$15*M19+H$16*M18+H$17*M17+H$18*M16+H$19*M15+H$20*M14+H$21*M13+H$22*M12+H$23*M11+H$24*M10+H$25*M9+H$26*M8+H$27*M7+H$28*M6+H$29*M5</f>
        <v>0.41242015262164278</v>
      </c>
      <c r="O30">
        <v>0.41242014916891101</v>
      </c>
    </row>
    <row r="31" spans="1:15" x14ac:dyDescent="0.3">
      <c r="A31" s="10">
        <v>25628</v>
      </c>
      <c r="B31" s="11">
        <v>4.4000000000000004</v>
      </c>
      <c r="C31" s="6">
        <v>-7.77456063634442E-2</v>
      </c>
      <c r="F31" s="12">
        <f t="shared" si="1"/>
        <v>27</v>
      </c>
      <c r="H31" s="12">
        <v>4.9088911583572998E-3</v>
      </c>
      <c r="L31" s="18">
        <f t="shared" si="0"/>
        <v>26</v>
      </c>
      <c r="M31">
        <v>0</v>
      </c>
      <c r="N31">
        <f>G$5*N30+G$6*N29+G$7*N28+G$8*N27+G$9*N26+G$10*N25+G$11*N24+G$12*N23+G$13*N22+G$14*N21+G$15*N20+G$16*N19+G$17*N18+G$18*N17+G$19*N16+G$20*N15+G$21*N14+G$22*N13+G$23*N12+G$24*N11+G$25*N10+G$26*N9+G$27*N8+G$28*N7+G$29*N6+G$30*N5+H$5*M30+H$6*M29+H$7*M28+H$8*M27+H$9*M26+H$10*M25+H$11*M24+H$12*M23+H$13*M22+H$14*M21+H$15*M20+H$16*M19+H$17*M18+H$18*M17+H$19*M16+H$20*M15+H$21*M14+H$22*M13+H$23*M12+H$24*M11+H$25*M10+H$26*M9+H$27*M8+H$28*M7+H$29*M6+H$30*M5</f>
        <v>0.39063509080175002</v>
      </c>
      <c r="O31">
        <v>0.390635086226513</v>
      </c>
    </row>
    <row r="32" spans="1:15" x14ac:dyDescent="0.3">
      <c r="A32" s="10">
        <v>25659</v>
      </c>
      <c r="B32" s="11">
        <v>4.5999999999999996</v>
      </c>
      <c r="C32" s="6">
        <v>-9.5514012436981099E-2</v>
      </c>
      <c r="F32" s="12">
        <f t="shared" si="1"/>
        <v>28</v>
      </c>
      <c r="H32" s="12">
        <v>1.3975411502221599E-2</v>
      </c>
      <c r="L32" s="18">
        <f t="shared" si="0"/>
        <v>27</v>
      </c>
      <c r="M32">
        <v>0</v>
      </c>
      <c r="N32">
        <f>G$5*N31+G$6*N30+G$7*N29+G$8*N28+G$9*N27+G$10*N26+G$11*N25+G$12*N24+G$13*N23+G$14*N22+G$15*N21+G$16*N20+G$17*N19+G$18*N18+G$19*N17+G$20*N16+G$21*N15+G$22*N14+G$23*N13+G$24*N12+G$25*N11+G$26*N10+G$27*N9+G$28*N8+G$29*N7+G$30*N6+G$31*N5+H$5*M31+H$6*M30+H$7*M29+H$8*M28+H$9*M27+H$10*M26+H$11*M25+H$12*M24+H$13*M23+H$14*M22+H$15*M21+H$16*M20+H$17*M19+H$18*M18+H$19*M17+H$20*M16+H$21*M15+H$22*M14+H$23*M13+H$24*M12+H$25*M11+H$26*M10+H$27*M9+H$28*M8+H$29*M7+H$30*M6+H$31*M5</f>
        <v>0.4199101764702356</v>
      </c>
      <c r="O32">
        <v>0.419910170820328</v>
      </c>
    </row>
    <row r="33" spans="1:15" x14ac:dyDescent="0.3">
      <c r="A33" s="10">
        <v>25689</v>
      </c>
      <c r="B33" s="11">
        <v>4.8</v>
      </c>
      <c r="C33" s="6">
        <v>0.24903240530571372</v>
      </c>
      <c r="F33" s="12">
        <f t="shared" si="1"/>
        <v>29</v>
      </c>
      <c r="H33" s="12">
        <v>-3.24018436557564E-2</v>
      </c>
      <c r="L33" s="18">
        <f t="shared" si="0"/>
        <v>28</v>
      </c>
      <c r="M33">
        <v>0</v>
      </c>
      <c r="N33">
        <f>G$5*N32+G$6*N31+G$7*N30+G$8*N29+G$9*N28+G$10*N27+G$11*N26+G$12*N25+G$13*N24+G$14*N23+G$15*N22+G$16*N21+G$17*N20+G$18*N19+G$19*N18+G$20*N17+G$21*N16+G$22*N15+G$23*N14+G$24*N13+G$25*N12+G$26*N11+G$27*N10+G$28*N9+G$29*N8+G$30*N7+G$31*N6+G$32*N5+H$5*M32+H$6*M31+H$7*M30+H$8*M29+H$9*M28+H$10*M27+H$11*M26+H$12*M25+H$13*M24+H$14*M23+H$15*M22+H$16*M21+H$17*M20+H$18*M19+H$19*M18+H$20*M17+H$21*M16+H$22*M15+H$23*M14+H$24*M13+H$25*M12+H$26*M11+H$27*M10+H$28*M9+H$29*M8+H$30*M7+H$31*M6+H$32*M5</f>
        <v>0.4547486540535593</v>
      </c>
      <c r="O33">
        <v>0.454748647661812</v>
      </c>
    </row>
    <row r="34" spans="1:15" x14ac:dyDescent="0.3">
      <c r="A34" s="10">
        <v>25720</v>
      </c>
      <c r="B34" s="11">
        <v>4.9000000000000004</v>
      </c>
      <c r="C34" s="6">
        <v>-0.16093887967893</v>
      </c>
      <c r="F34" s="12">
        <f t="shared" si="1"/>
        <v>30</v>
      </c>
      <c r="H34" s="12">
        <v>-6.9400938591176006E-2</v>
      </c>
      <c r="L34" s="18">
        <f t="shared" si="0"/>
        <v>29</v>
      </c>
      <c r="M34">
        <v>0</v>
      </c>
      <c r="N34">
        <f>G$5*N33+G$6*N32+G$7*N31+G$8*N30+G$9*N29+G$10*N28+G$11*N27+G$12*N26+G$13*N25+G$14*N24+G$15*N23+G$16*N22+G$17*N21+G$18*N20+G$19*N19+G$20*N18+G$21*N17+G$22*N16+G$23*N15+G$24*N14+G$25*N13+G$26*N12+G$27*N11+G$28*N10+G$29*N9+G$30*N8+G$31*N7+G$32*N6+G$33*N5+H$5*M33+H$6*M32+H$7*M31+H$8*M30+H$9*M29+H$10*M28+H$11*M27+H$12*M26+H$13*M25+H$14*M24+H$15*M23+H$16*M22+H$17*M21+H$18*M20+H$19*M19+H$20*M18+H$21*M17+H$22*M16+H$23*M15+H$24*M14+H$25*M13+H$26*M12+H$27*M11+H$28*M10+H$29*M9+H$30*M8+H$31*M7+H$32*M6+H$33*M5</f>
        <v>0.43829121291251161</v>
      </c>
      <c r="O34">
        <v>0.43829120579361203</v>
      </c>
    </row>
    <row r="35" spans="1:15" x14ac:dyDescent="0.3">
      <c r="A35" s="10">
        <v>25750</v>
      </c>
      <c r="B35" s="11">
        <v>5</v>
      </c>
      <c r="C35" s="6">
        <v>-0.224911800652425</v>
      </c>
      <c r="F35" s="12">
        <f t="shared" si="1"/>
        <v>31</v>
      </c>
      <c r="H35" s="12">
        <v>1.26693791869104E-2</v>
      </c>
      <c r="L35" s="18">
        <f t="shared" si="0"/>
        <v>30</v>
      </c>
      <c r="M35">
        <v>0</v>
      </c>
      <c r="N35">
        <f>G$5*N34+G$6*N33+G$7*N32+G$8*N31+G$9*N30+G$10*N29+G$11*N28+G$12*N27+G$13*N26+G$14*N25+G$15*N24+G$16*N23+G$17*N22+G$18*N21+G$19*N20+G$20*N19+G$21*N18+G$22*N17+G$23*N16+G$24*N15+G$25*N14+G$26*N13+G$27*N12+G$28*N11+G$29*N10+G$30*N9+G$31*N8+G$32*N7+G$33*N6+G$34*N5+H$5*M34+H$6*M33+H$7*M32+H$8*M31+H$9*M30+H$10*M29+H$11*M28+H$12*M27+H$13*M26+H$14*M25+H$15*M24+H$16*M23+H$17*M22+H$18*M21+H$19*M20+H$20*M19+H$21*M18+H$22*M17+H$23*M16+H$24*M15+H$25*M14+H$26*M13+H$27*M12+H$28*M11+H$29*M10+H$30*M9+H$31*M8+H$32*M7+H$33*M6+H$34*M5</f>
        <v>0.37796235177261706</v>
      </c>
      <c r="O35">
        <v>0.377962343838746</v>
      </c>
    </row>
    <row r="36" spans="1:15" x14ac:dyDescent="0.3">
      <c r="A36" s="10">
        <v>25781</v>
      </c>
      <c r="B36" s="11">
        <v>5.0999999999999996</v>
      </c>
      <c r="C36" s="6">
        <v>-0.439143759150873</v>
      </c>
      <c r="F36" s="12">
        <f t="shared" si="1"/>
        <v>32</v>
      </c>
      <c r="H36" s="12">
        <v>-1.69747111313319E-2</v>
      </c>
      <c r="L36" s="18">
        <f t="shared" si="0"/>
        <v>31</v>
      </c>
      <c r="M36">
        <v>0</v>
      </c>
      <c r="N36">
        <f>G$5*N35+G$6*N34+G$7*N33+G$8*N32+G$9*N31+G$10*N30+G$11*N29+G$12*N28+G$13*N27+G$14*N26+G$15*N25+G$16*N24+G$17*N23+G$18*N22+G$19*N21+G$20*N20+G$21*N19+G$22*N18+G$23*N17+G$24*N16+G$25*N15+G$26*N14+G$27*N13+G$28*N12+G$29*N11+G$30*N10+G$31*N9+G$32*N8+G$33*N7+G$34*N6+G$35*N5+H$5*M35+H$6*M34+H$7*M33+H$8*M32+H$9*M31+H$10*M30+H$11*M29+H$12*M28+H$13*M27+H$14*M26+H$15*M25+H$16*M24+H$17*M23+H$18*M22+H$19*M21+H$20*M20+H$21*M19+H$22*M18+H$23*M17+H$24*M16+H$25*M15+H$26*M14+H$27*M13+H$28*M12+H$29*M11+H$30*M10+H$31*M9+H$32*M8+H$33*M7+H$34*M6+H$35*M5</f>
        <v>0.40102325745437062</v>
      </c>
      <c r="O36">
        <v>0.40102324852828097</v>
      </c>
    </row>
    <row r="37" spans="1:15" x14ac:dyDescent="0.3">
      <c r="A37" s="10">
        <v>25812</v>
      </c>
      <c r="B37" s="11">
        <v>5.4</v>
      </c>
      <c r="C37" s="6">
        <v>-0.24990497745193599</v>
      </c>
      <c r="F37" s="12">
        <f t="shared" si="1"/>
        <v>33</v>
      </c>
      <c r="H37" s="12">
        <v>-2.93349814397918E-2</v>
      </c>
      <c r="L37" s="18">
        <f t="shared" si="0"/>
        <v>32</v>
      </c>
      <c r="M37">
        <v>0</v>
      </c>
      <c r="N37">
        <f>G$5*N36+G$6*N35+G$7*N34+G$8*N33+G$9*N32+G$10*N31+G$11*N30+G$12*N29+G$13*N28+G$14*N27+G$15*N26+G$16*N25+G$17*N24+G$18*N23+G$19*N22+G$20*N21+G$21*N20+G$22*N19+G$23*N18+G$24*N17+G$25*N16+G$26*N15+G$27*N14+G$28*N13+G$29*N12+G$30*N11+G$31*N10+G$32*N9+G$33*N8+G$34*N7+G$35*N6+G$36*N5+H$5*M36+H$6*M35+H$7*M34+H$8*M33+H$9*M32+H$10*M31+H$11*M30+H$12*M29+H$13*M28+H$14*M27+H$15*M26+H$16*M25+H$17*M24+H$18*M23+H$19*M22+H$20*M21+H$21*M20+H$22*M19+H$23*M18+H$24*M17+H$25*M16+H$26*M15+H$27*M14+H$28*M13+H$29*M12+H$30*M11+H$31*M10+H$32*M9+H$33*M8+H$34*M7+H$35*M6+H$36*M5</f>
        <v>0.3588139419782152</v>
      </c>
      <c r="O37">
        <v>0.35881393212780799</v>
      </c>
    </row>
    <row r="38" spans="1:15" x14ac:dyDescent="0.3">
      <c r="A38" s="10">
        <v>25842</v>
      </c>
      <c r="B38" s="11">
        <v>5.5</v>
      </c>
      <c r="C38" s="6">
        <v>-6.0219051200076298E-3</v>
      </c>
      <c r="F38" s="12">
        <f t="shared" si="1"/>
        <v>34</v>
      </c>
      <c r="H38" s="12">
        <v>-2.67578960021152E-2</v>
      </c>
      <c r="L38" s="18">
        <f t="shared" si="0"/>
        <v>33</v>
      </c>
      <c r="M38">
        <v>0</v>
      </c>
      <c r="N38">
        <f>G$5*N37+G$6*N36+G$7*N35+G$8*N34+G$9*N33+G$10*N32+G$11*N31+G$12*N30+G$13*N29+G$14*N28+G$15*N27+G$16*N26+G$17*N25+G$18*N24+G$19*N23+G$20*N22+G$21*N21+G$22*N20+G$23*N19+G$24*N18+G$25*N17+G$26*N16+G$27*N15+G$28*N14+G$29*N13+G$30*N12+G$31*N11+G$32*N10+G$33*N9+G$34*N8+G$35*N7+G$36*N6+G$37*N5+H$5*M37+H$6*M36+H$7*M35+H$8*M34+H$9*M33+H$10*M32+H$11*M31+H$12*M30+H$13*M29+H$14*M28+H$15*M27+H$16*M26+H$17*M25+H$18*M24+H$19*M23+H$20*M22+H$21*M21+H$22*M20+H$23*M19+H$24*M18+H$25*M17+H$26*M16+H$27*M15+H$28*M14+H$29*M13+H$30*M12+H$31*M11+H$32*M10+H$33*M9+H$34*M8+H$35*M7+H$36*M6+H$37*M5</f>
        <v>0.33113204573509075</v>
      </c>
      <c r="O38">
        <v>0.33113203497422</v>
      </c>
    </row>
    <row r="39" spans="1:15" x14ac:dyDescent="0.3">
      <c r="A39" s="10">
        <v>25873</v>
      </c>
      <c r="B39" s="11">
        <v>5.9</v>
      </c>
      <c r="C39" s="6">
        <v>-0.36063104729662299</v>
      </c>
      <c r="F39" s="12">
        <f t="shared" si="1"/>
        <v>35</v>
      </c>
      <c r="H39" s="12">
        <v>-4.2647305908455301E-2</v>
      </c>
      <c r="L39" s="18">
        <f t="shared" si="0"/>
        <v>34</v>
      </c>
      <c r="M39">
        <v>0</v>
      </c>
      <c r="N39">
        <f>G$5*N38+G$6*N37+G$7*N36+G$8*N35+G$9*N34+G$10*N33+G$11*N32+G$12*N31+G$13*N30+G$14*N29+G$15*N28+G$16*N27+G$17*N26+G$18*N25+G$19*N24+G$20*N23+G$21*N22+G$22*N21+G$23*N20+G$24*N19+G$25*N18+G$26*N17+G$27*N16+G$28*N15+G$29*N14+G$30*N13+G$31*N12+G$32*N11+G$33*N10+G$34*N9+G$35*N8+G$36*N7+G$37*N6+G$38*N5+H$5*M38+H$6*M37+H$7*M36+H$8*M35+H$9*M34+H$10*M33+H$11*M32+H$12*M31+H$13*M30+H$14*M29+H$15*M28+H$16*M27+H$17*M26+H$18*M25+H$19*M24+H$20*M23+H$21*M22+H$22*M21+H$23*M20+H$24*M19+H$25*M18+H$26*M17+H$27*M16+H$28*M15+H$29*M14+H$30*M13+H$31*M12+H$32*M11+H$33*M10+H$34*M9+H$35*M8+H$36*M7+H$37*M6+H$38*M5</f>
        <v>0.29304508358116765</v>
      </c>
      <c r="O39">
        <v>0.293045071980363</v>
      </c>
    </row>
    <row r="40" spans="1:15" x14ac:dyDescent="0.3">
      <c r="A40" s="10">
        <v>25903</v>
      </c>
      <c r="B40" s="11">
        <v>6.1</v>
      </c>
      <c r="C40" s="6">
        <v>-0.25628250584101803</v>
      </c>
      <c r="F40" s="12">
        <f t="shared" si="1"/>
        <v>36</v>
      </c>
      <c r="H40" s="12">
        <v>-3.6838996515427803E-2</v>
      </c>
      <c r="L40" s="18">
        <f t="shared" si="0"/>
        <v>35</v>
      </c>
      <c r="M40">
        <v>0</v>
      </c>
      <c r="N40">
        <f>G$5*N39+G$6*N38+G$7*N37+G$8*N36+G$9*N35+G$10*N34+G$11*N33+G$12*N32+G$13*N31+G$14*N30+G$15*N29+G$16*N28+G$17*N27+G$18*N26+G$19*N25+G$20*N24+G$21*N23+G$22*N22+G$23*N21+G$24*N20+G$25*N19+G$26*N18+G$27*N17+G$28*N16+G$29*N15+G$30*N14+G$31*N13+G$32*N12+G$33*N11+G$34*N10+G$35*N9+G$36*N8+G$37*N7+G$38*N6+G$39*N5+H$5*M39+H$6*M38+H$7*M37+H$8*M36+H$9*M35+H$10*M34+H$11*M33+H$12*M32+H$13*M31+H$14*M30+H$15*M29+H$16*M28+H$17*M27+H$18*M26+H$19*M25+H$20*M24+H$21*M23+H$22*M22+H$23*M21+H$24*M20+H$25*M19+H$26*M18+H$27*M17+H$28*M16+H$29*M15+H$30*M14+H$31*M13+H$32*M12+H$33*M11+H$34*M10+H$35*M9+H$36*M8+H$37*M7+H$38*M6+H$39*M5</f>
        <v>0.23105641814377845</v>
      </c>
      <c r="O40">
        <v>0.23105640586986501</v>
      </c>
    </row>
    <row r="41" spans="1:15" x14ac:dyDescent="0.3">
      <c r="A41" s="10">
        <v>25934</v>
      </c>
      <c r="B41" s="11">
        <v>5.9</v>
      </c>
      <c r="C41" s="6">
        <v>-0.67009264315085004</v>
      </c>
      <c r="L41" s="18">
        <f t="shared" si="0"/>
        <v>36</v>
      </c>
      <c r="M41">
        <v>0</v>
      </c>
      <c r="N41">
        <f>G$5*N40+G$6*N39+G$7*N38+G$8*N37+G$9*N36+G$10*N35+G$11*N34+G$12*N33+G$13*N32+G$14*N31+G$15*N30+G$16*N29+G$17*N28+G$18*N27+G$19*N26+G$20*N25+G$21*N24+G$22*N23+G$23*N22+G$24*N21+G$25*N20+G$26*N19+G$27*N18+G$28*N17+G$29*N16+G$30*N15+G$31*N14+G$32*N13+G$33*N12+G$34*N11+G$35*N10+G$36*N9+G$37*N8+G$38*N7+G$39*N6+G$40*N5+H$5*M40+H$6*M39+H$7*M38+H$8*M37+H$9*M36+H$10*M35+H$11*M34+H$12*M33+H$13*M32+H$14*M31+H$15*M30+H$16*M29+H$17*M28+H$18*M27+H$19*M26+H$20*M25+H$21*M24+H$22*M23+H$23*M22+H$24*M21+H$25*M20+H$26*M19+H$27*M18+H$28*M17+H$29*M16+H$30*M15+H$31*M14+H$32*M13+H$33*M12+H$34*M11+H$35*M10+H$36*M9+H$37*M8+H$38*M7+H$39*M6+H$40*M5</f>
        <v>0.16690661722795852</v>
      </c>
      <c r="O41">
        <v>0.166906604142877</v>
      </c>
    </row>
    <row r="42" spans="1:15" x14ac:dyDescent="0.3">
      <c r="A42" s="10">
        <v>25965</v>
      </c>
      <c r="B42" s="11">
        <v>5.9</v>
      </c>
      <c r="C42" s="6">
        <v>-6.3741778353379894E-2</v>
      </c>
      <c r="L42" s="18">
        <f t="shared" si="0"/>
        <v>37</v>
      </c>
      <c r="M42">
        <v>0</v>
      </c>
      <c r="N42">
        <f>G$5*N41+G$6*N40+G$7*N39+G$8*N38+G$9*N37+G$10*N36+G$11*N35+G$12*N34+G$13*N33+G$14*N32+G$15*N31+G$16*N30+G$17*N29+G$18*N28+G$19*N27+G$20*N26+G$21*N25+G$22*N24+G$23*N23+G$24*N22+G$25*N21+G$26*N20+G$27*N19+G$28*N18+G$29*N17+G$30*N16+G$31*N15+G$32*N14+G$33*N13+G$34*N12+G$35*N11+G$36*N10+G$37*N9+G$38*N8+G$39*N7+G$40*N6+H$5*M41+H$6*M40+H$7*M39+H$8*M38+H$9*M37+H$10*M36+H$11*M35+H$12*M34+H$13*M33+H$14*M32+H$15*M31+H$16*M30+H$17*M29+H$18*M28+H$19*M27+H$20*M26+H$21*M25+H$22*M24+H$23*M23+H$24*M22+H$25*M21+H$26*M20+H$27*M19+H$28*M18+H$29*M17+H$30*M16+H$31*M15+H$32*M14+H$33*M13+H$34*M12+H$35*M11+H$36*M10+H$37*M9+H$38*M8+H$39*M7+H$40*M6</f>
        <v>0.12730888179780156</v>
      </c>
      <c r="O42">
        <v>0.12730886781817699</v>
      </c>
    </row>
    <row r="43" spans="1:15" x14ac:dyDescent="0.3">
      <c r="A43" s="10">
        <v>25993</v>
      </c>
      <c r="B43" s="11">
        <v>6</v>
      </c>
      <c r="C43" s="6">
        <v>-9.3053561524489403E-2</v>
      </c>
      <c r="L43" s="18">
        <f t="shared" si="0"/>
        <v>38</v>
      </c>
      <c r="M43">
        <v>0</v>
      </c>
      <c r="N43">
        <f t="shared" ref="N43:N70" si="2">G$5*N42+G$6*N41+G$7*N40+G$8*N39+G$9*N38+G$10*N37+G$11*N36+G$12*N35+G$13*N34+G$14*N33+G$15*N32+G$16*N31+G$17*N30+G$18*N29+G$19*N28+G$20*N27+G$21*N26+G$22*N25+G$23*N24+G$24*N23+G$25*N22+G$26*N21+G$27*N20+G$28*N19+G$29*N18+G$30*N17+G$31*N16+G$32*N15+G$33*N14+G$34*N13+G$35*N12+G$36*N11+G$37*N10+G$38*N9+G$39*N8+G$40*N7+H$5*M42+H$6*M41+H$7*M40+H$8*M39+H$9*M38+H$10*M37+H$11*M36+H$12*M35+H$13*M34+H$14*M33+H$15*M32+H$16*M31+H$17*M30+H$18*M29+H$19*M28+H$20*M27+H$21*M26+H$22*M25+H$23*M24+H$24*M23+H$25*M22+H$26*M21+H$27*M20+H$28*M19+H$29*M18+H$30*M17+H$31*M16+H$32*M15+H$33*M14+H$34*M13+H$35*M12+H$36*M11+H$37*M10+H$38*M9+H$39*M8+H$40*M7</f>
        <v>9.2755479367886529E-2</v>
      </c>
      <c r="O43">
        <v>9.2755464731702403E-2</v>
      </c>
    </row>
    <row r="44" spans="1:15" x14ac:dyDescent="0.3">
      <c r="A44" s="10">
        <v>26024</v>
      </c>
      <c r="B44" s="11">
        <v>5.9</v>
      </c>
      <c r="C44" s="6">
        <v>0.43662548658257999</v>
      </c>
      <c r="L44" s="18">
        <f t="shared" si="0"/>
        <v>39</v>
      </c>
      <c r="M44">
        <v>0</v>
      </c>
      <c r="N44">
        <f t="shared" si="2"/>
        <v>5.877122555174611E-2</v>
      </c>
      <c r="O44">
        <v>5.8771210273167701E-2</v>
      </c>
    </row>
    <row r="45" spans="1:15" x14ac:dyDescent="0.3">
      <c r="A45" s="10">
        <v>26054</v>
      </c>
      <c r="B45" s="11">
        <v>5.9</v>
      </c>
      <c r="C45" s="6">
        <v>7.1513790869604202E-2</v>
      </c>
      <c r="L45" s="18">
        <f t="shared" si="0"/>
        <v>40</v>
      </c>
      <c r="M45">
        <v>0</v>
      </c>
      <c r="N45">
        <f t="shared" si="2"/>
        <v>3.0240705345565062E-2</v>
      </c>
      <c r="O45">
        <v>3.0240689598976699E-2</v>
      </c>
    </row>
    <row r="46" spans="1:15" x14ac:dyDescent="0.3">
      <c r="A46" s="10">
        <v>26085</v>
      </c>
      <c r="B46" s="11">
        <v>5.9</v>
      </c>
      <c r="C46" s="6">
        <v>0.43827684124247301</v>
      </c>
      <c r="L46" s="18">
        <f t="shared" si="0"/>
        <v>41</v>
      </c>
      <c r="M46">
        <v>0</v>
      </c>
      <c r="N46">
        <f t="shared" si="2"/>
        <v>-6.7542228280974281E-4</v>
      </c>
      <c r="O46">
        <v>-6.7543809430131697E-4</v>
      </c>
    </row>
    <row r="47" spans="1:15" x14ac:dyDescent="0.3">
      <c r="A47" s="10">
        <v>26115</v>
      </c>
      <c r="B47" s="11">
        <v>6</v>
      </c>
      <c r="C47" s="6">
        <v>-0.117753354414005</v>
      </c>
      <c r="L47" s="18">
        <f t="shared" si="0"/>
        <v>42</v>
      </c>
      <c r="M47">
        <v>0</v>
      </c>
      <c r="N47">
        <f t="shared" si="2"/>
        <v>-1.9545378777963199E-2</v>
      </c>
      <c r="O47">
        <v>-1.9545394625755601E-2</v>
      </c>
    </row>
    <row r="48" spans="1:15" x14ac:dyDescent="0.3">
      <c r="A48" s="10">
        <v>26146</v>
      </c>
      <c r="B48" s="11">
        <v>6.1</v>
      </c>
      <c r="C48" s="6">
        <v>0</v>
      </c>
      <c r="L48" s="18">
        <f t="shared" si="0"/>
        <v>43</v>
      </c>
      <c r="M48">
        <v>0</v>
      </c>
      <c r="N48">
        <f t="shared" si="2"/>
        <v>-3.6617600423252787E-2</v>
      </c>
      <c r="O48">
        <v>-3.6617616049164602E-2</v>
      </c>
    </row>
    <row r="49" spans="1:15" x14ac:dyDescent="0.3">
      <c r="A49" s="10">
        <v>26177</v>
      </c>
      <c r="B49" s="11">
        <v>6</v>
      </c>
      <c r="C49" s="6">
        <v>0</v>
      </c>
      <c r="L49" s="18">
        <f t="shared" si="0"/>
        <v>44</v>
      </c>
      <c r="M49">
        <v>0</v>
      </c>
      <c r="N49">
        <f t="shared" si="2"/>
        <v>-4.2652833567764219E-2</v>
      </c>
      <c r="O49">
        <v>-4.2652848533362202E-2</v>
      </c>
    </row>
    <row r="50" spans="1:15" x14ac:dyDescent="0.3">
      <c r="A50" s="10">
        <v>26207</v>
      </c>
      <c r="B50" s="11">
        <v>5.8</v>
      </c>
      <c r="C50" s="6">
        <v>-0.29296772830508699</v>
      </c>
      <c r="L50" s="18">
        <f t="shared" si="0"/>
        <v>45</v>
      </c>
      <c r="M50">
        <v>0</v>
      </c>
      <c r="N50">
        <f t="shared" si="2"/>
        <v>-5.8726685772171189E-2</v>
      </c>
      <c r="O50">
        <v>-5.8726699538711999E-2</v>
      </c>
    </row>
    <row r="51" spans="1:15" x14ac:dyDescent="0.3">
      <c r="A51" s="10">
        <v>26238</v>
      </c>
      <c r="B51" s="11">
        <v>6</v>
      </c>
      <c r="C51" s="6">
        <v>-0.34366773452329202</v>
      </c>
      <c r="L51" s="18">
        <f t="shared" si="0"/>
        <v>46</v>
      </c>
      <c r="M51">
        <v>0</v>
      </c>
      <c r="N51">
        <f t="shared" si="2"/>
        <v>-6.3798749328974461E-2</v>
      </c>
      <c r="O51">
        <v>-6.3798761570555806E-2</v>
      </c>
    </row>
    <row r="52" spans="1:15" x14ac:dyDescent="0.3">
      <c r="A52" s="10">
        <v>26268</v>
      </c>
      <c r="B52" s="11">
        <v>6</v>
      </c>
      <c r="C52" s="6">
        <v>-0.89550079604702004</v>
      </c>
      <c r="L52" s="18">
        <f t="shared" si="0"/>
        <v>47</v>
      </c>
      <c r="M52">
        <v>0</v>
      </c>
      <c r="N52">
        <f t="shared" si="2"/>
        <v>-6.4708209429513691E-2</v>
      </c>
      <c r="O52">
        <v>-6.4708219913849493E-2</v>
      </c>
    </row>
    <row r="53" spans="1:15" x14ac:dyDescent="0.3">
      <c r="A53" s="10">
        <v>26299</v>
      </c>
      <c r="B53" s="11">
        <v>5.8</v>
      </c>
      <c r="C53" s="6">
        <v>-0.27643417093906397</v>
      </c>
      <c r="L53" s="18">
        <f t="shared" si="0"/>
        <v>48</v>
      </c>
      <c r="M53">
        <v>0</v>
      </c>
      <c r="N53">
        <f t="shared" si="2"/>
        <v>-6.4568809429424959E-2</v>
      </c>
    </row>
    <row r="54" spans="1:15" x14ac:dyDescent="0.3">
      <c r="A54" s="10">
        <v>26330</v>
      </c>
      <c r="B54" s="11">
        <v>5.7</v>
      </c>
      <c r="C54" s="6">
        <v>-7.9607135337944196E-2</v>
      </c>
      <c r="L54" s="18">
        <f t="shared" si="0"/>
        <v>49</v>
      </c>
      <c r="M54">
        <v>0</v>
      </c>
      <c r="N54">
        <f t="shared" si="2"/>
        <v>-6.1915689180037009E-2</v>
      </c>
    </row>
    <row r="55" spans="1:15" x14ac:dyDescent="0.3">
      <c r="A55" s="10">
        <v>26359</v>
      </c>
      <c r="B55" s="11">
        <v>5.8</v>
      </c>
      <c r="C55" s="6">
        <v>0.23746859488345201</v>
      </c>
      <c r="L55" s="18">
        <f t="shared" si="0"/>
        <v>50</v>
      </c>
      <c r="M55">
        <v>0</v>
      </c>
      <c r="N55">
        <f t="shared" si="2"/>
        <v>-5.5087008612052707E-2</v>
      </c>
    </row>
    <row r="56" spans="1:15" x14ac:dyDescent="0.3">
      <c r="A56" s="10">
        <v>26390</v>
      </c>
      <c r="B56" s="11">
        <v>5.7</v>
      </c>
      <c r="C56" s="6">
        <v>-0.14566553143446201</v>
      </c>
      <c r="L56" s="18">
        <f t="shared" si="0"/>
        <v>51</v>
      </c>
      <c r="M56">
        <v>0</v>
      </c>
      <c r="N56">
        <f t="shared" si="2"/>
        <v>-5.8058293322002602E-2</v>
      </c>
    </row>
    <row r="57" spans="1:15" x14ac:dyDescent="0.3">
      <c r="A57" s="10">
        <v>26420</v>
      </c>
      <c r="B57" s="11">
        <v>5.7</v>
      </c>
      <c r="C57" s="6">
        <v>-0.13548781264854101</v>
      </c>
      <c r="L57" s="18">
        <f t="shared" si="0"/>
        <v>52</v>
      </c>
      <c r="M57">
        <v>0</v>
      </c>
      <c r="N57">
        <f t="shared" si="2"/>
        <v>-6.0623708984117036E-2</v>
      </c>
    </row>
    <row r="58" spans="1:15" x14ac:dyDescent="0.3">
      <c r="A58" s="10">
        <v>26451</v>
      </c>
      <c r="B58" s="11">
        <v>5.7</v>
      </c>
      <c r="C58" s="6">
        <v>-9.2660570718753402E-2</v>
      </c>
      <c r="L58" s="18">
        <f t="shared" si="0"/>
        <v>53</v>
      </c>
      <c r="M58">
        <v>0</v>
      </c>
      <c r="N58">
        <f t="shared" si="2"/>
        <v>-6.3288373309823939E-2</v>
      </c>
    </row>
    <row r="59" spans="1:15" x14ac:dyDescent="0.3">
      <c r="A59" s="10">
        <v>26481</v>
      </c>
      <c r="B59" s="11">
        <v>5.6</v>
      </c>
      <c r="C59" s="6">
        <v>0</v>
      </c>
      <c r="L59" s="18">
        <f t="shared" si="0"/>
        <v>54</v>
      </c>
      <c r="M59">
        <v>0</v>
      </c>
      <c r="N59">
        <f t="shared" si="2"/>
        <v>-6.5882440826529276E-2</v>
      </c>
    </row>
    <row r="60" spans="1:15" x14ac:dyDescent="0.3">
      <c r="A60" s="10">
        <v>26512</v>
      </c>
      <c r="B60" s="11">
        <v>5.6</v>
      </c>
      <c r="C60" s="6">
        <v>0</v>
      </c>
      <c r="L60" s="18">
        <f t="shared" si="0"/>
        <v>55</v>
      </c>
      <c r="M60">
        <v>0</v>
      </c>
      <c r="N60">
        <f t="shared" si="2"/>
        <v>-7.0674581864555858E-2</v>
      </c>
    </row>
    <row r="61" spans="1:15" x14ac:dyDescent="0.3">
      <c r="A61" s="10">
        <v>26543</v>
      </c>
      <c r="B61" s="11">
        <v>5.5</v>
      </c>
      <c r="C61" s="6">
        <v>0</v>
      </c>
      <c r="L61" s="18">
        <f t="shared" si="0"/>
        <v>56</v>
      </c>
      <c r="M61">
        <v>0</v>
      </c>
      <c r="N61">
        <f t="shared" si="2"/>
        <v>-7.8332480234175383E-2</v>
      </c>
    </row>
    <row r="62" spans="1:15" x14ac:dyDescent="0.3">
      <c r="A62" s="10">
        <v>26573</v>
      </c>
      <c r="B62" s="11">
        <v>5.6</v>
      </c>
      <c r="C62" s="6">
        <v>0</v>
      </c>
      <c r="L62" s="18">
        <f t="shared" si="0"/>
        <v>57</v>
      </c>
      <c r="M62">
        <v>0</v>
      </c>
      <c r="N62">
        <f t="shared" si="2"/>
        <v>-8.6779187623752779E-2</v>
      </c>
    </row>
    <row r="63" spans="1:15" x14ac:dyDescent="0.3">
      <c r="A63" s="10">
        <v>26604</v>
      </c>
      <c r="B63" s="11">
        <v>5.3</v>
      </c>
      <c r="C63" s="6">
        <v>1.08994834044357E-2</v>
      </c>
      <c r="L63" s="18">
        <f t="shared" si="0"/>
        <v>58</v>
      </c>
      <c r="M63">
        <v>0</v>
      </c>
      <c r="N63">
        <f t="shared" si="2"/>
        <v>-9.6797257743015036E-2</v>
      </c>
    </row>
    <row r="64" spans="1:15" x14ac:dyDescent="0.3">
      <c r="A64" s="10">
        <v>26634</v>
      </c>
      <c r="B64" s="11">
        <v>5.2</v>
      </c>
      <c r="C64" s="6">
        <v>-2.2261839686201299E-2</v>
      </c>
      <c r="L64" s="18">
        <f t="shared" si="0"/>
        <v>59</v>
      </c>
      <c r="M64">
        <v>0</v>
      </c>
      <c r="N64">
        <f t="shared" si="2"/>
        <v>-0.10597511618928396</v>
      </c>
    </row>
    <row r="65" spans="1:14" x14ac:dyDescent="0.3">
      <c r="A65" s="10">
        <v>26665</v>
      </c>
      <c r="B65" s="11">
        <v>4.9000000000000004</v>
      </c>
      <c r="C65" s="6">
        <v>0.262637919575893</v>
      </c>
      <c r="L65" s="18">
        <f t="shared" si="0"/>
        <v>60</v>
      </c>
      <c r="M65">
        <v>0</v>
      </c>
      <c r="N65">
        <f t="shared" si="2"/>
        <v>-0.1154294660314832</v>
      </c>
    </row>
    <row r="66" spans="1:14" x14ac:dyDescent="0.3">
      <c r="A66" s="10">
        <v>26696</v>
      </c>
      <c r="B66" s="11">
        <v>5</v>
      </c>
      <c r="C66" s="6">
        <v>0.196715717100863</v>
      </c>
      <c r="L66" s="18">
        <f t="shared" si="0"/>
        <v>61</v>
      </c>
      <c r="M66">
        <v>0</v>
      </c>
      <c r="N66">
        <f t="shared" si="2"/>
        <v>-0.12503909282734121</v>
      </c>
    </row>
    <row r="67" spans="1:14" x14ac:dyDescent="0.3">
      <c r="A67" s="10">
        <v>26724</v>
      </c>
      <c r="B67" s="11">
        <v>4.9000000000000004</v>
      </c>
      <c r="C67" s="6">
        <v>3.9973692447378598E-2</v>
      </c>
      <c r="L67" s="18">
        <f t="shared" si="0"/>
        <v>62</v>
      </c>
      <c r="M67">
        <v>0</v>
      </c>
      <c r="N67">
        <f t="shared" si="2"/>
        <v>-0.13556294099620214</v>
      </c>
    </row>
    <row r="68" spans="1:14" x14ac:dyDescent="0.3">
      <c r="A68" s="10">
        <v>26755</v>
      </c>
      <c r="B68" s="11">
        <v>5</v>
      </c>
      <c r="C68" s="6">
        <v>-9.5868322931270594E-2</v>
      </c>
      <c r="L68" s="18">
        <f t="shared" si="0"/>
        <v>63</v>
      </c>
      <c r="M68">
        <v>0</v>
      </c>
      <c r="N68">
        <f t="shared" si="2"/>
        <v>-0.14414586428506779</v>
      </c>
    </row>
    <row r="69" spans="1:14" x14ac:dyDescent="0.3">
      <c r="A69" s="10">
        <v>26785</v>
      </c>
      <c r="B69" s="11">
        <v>4.9000000000000004</v>
      </c>
      <c r="C69" s="6">
        <v>0.27946182707158002</v>
      </c>
      <c r="L69" s="18">
        <f t="shared" si="0"/>
        <v>64</v>
      </c>
      <c r="M69">
        <v>0</v>
      </c>
      <c r="N69">
        <f t="shared" si="2"/>
        <v>-0.15292188783868965</v>
      </c>
    </row>
    <row r="70" spans="1:14" x14ac:dyDescent="0.3">
      <c r="A70" s="10">
        <v>26816</v>
      </c>
      <c r="B70" s="11">
        <v>4.9000000000000004</v>
      </c>
      <c r="C70" s="6">
        <v>0.35692828057118198</v>
      </c>
      <c r="L70" s="18">
        <f t="shared" si="0"/>
        <v>65</v>
      </c>
      <c r="M70">
        <v>0</v>
      </c>
      <c r="N70">
        <f t="shared" si="2"/>
        <v>-0.15797162096351838</v>
      </c>
    </row>
    <row r="71" spans="1:14" x14ac:dyDescent="0.3">
      <c r="A71" s="10">
        <v>26846</v>
      </c>
      <c r="B71" s="11">
        <v>4.8</v>
      </c>
      <c r="C71" s="6">
        <v>8.5972976785124403E-2</v>
      </c>
      <c r="L71" s="18">
        <f t="shared" si="0"/>
        <v>66</v>
      </c>
      <c r="M71">
        <v>0</v>
      </c>
    </row>
    <row r="72" spans="1:14" x14ac:dyDescent="0.3">
      <c r="A72" s="10">
        <v>26877</v>
      </c>
      <c r="B72" s="11">
        <v>4.8</v>
      </c>
      <c r="C72" s="6">
        <v>0.23528735150597399</v>
      </c>
      <c r="L72" s="18">
        <f t="shared" si="0"/>
        <v>67</v>
      </c>
      <c r="M72">
        <v>0</v>
      </c>
    </row>
    <row r="73" spans="1:14" x14ac:dyDescent="0.3">
      <c r="A73" s="10">
        <v>26908</v>
      </c>
      <c r="B73" s="11">
        <v>4.8</v>
      </c>
      <c r="C73" s="6">
        <v>-0.60453593817087903</v>
      </c>
      <c r="L73" s="18">
        <f t="shared" si="0"/>
        <v>68</v>
      </c>
      <c r="M73">
        <v>0</v>
      </c>
    </row>
    <row r="74" spans="1:14" x14ac:dyDescent="0.3">
      <c r="A74" s="10">
        <v>26938</v>
      </c>
      <c r="B74" s="11">
        <v>4.5999999999999996</v>
      </c>
      <c r="C74" s="6">
        <v>-0.86342148792395601</v>
      </c>
      <c r="L74" s="18">
        <f t="shared" si="0"/>
        <v>69</v>
      </c>
      <c r="M74">
        <v>0</v>
      </c>
    </row>
    <row r="75" spans="1:14" x14ac:dyDescent="0.3">
      <c r="A75" s="10">
        <v>26969</v>
      </c>
      <c r="B75" s="11">
        <v>4.8</v>
      </c>
      <c r="C75" s="6">
        <v>-0.11758482274055</v>
      </c>
      <c r="L75" s="18">
        <f t="shared" ref="L75:L110" si="3">L74+1</f>
        <v>70</v>
      </c>
      <c r="M75">
        <v>0</v>
      </c>
    </row>
    <row r="76" spans="1:14" x14ac:dyDescent="0.3">
      <c r="A76" s="10">
        <v>26999</v>
      </c>
      <c r="B76" s="11">
        <v>4.9000000000000004</v>
      </c>
      <c r="C76" s="6">
        <v>-0.19249553655051599</v>
      </c>
      <c r="L76" s="18">
        <f t="shared" si="3"/>
        <v>71</v>
      </c>
      <c r="M76">
        <v>0</v>
      </c>
    </row>
    <row r="77" spans="1:14" x14ac:dyDescent="0.3">
      <c r="A77" s="10">
        <v>27030</v>
      </c>
      <c r="B77" s="11">
        <v>5.0999999999999996</v>
      </c>
      <c r="C77" s="6">
        <v>-0.19875906872187199</v>
      </c>
      <c r="L77" s="18">
        <f t="shared" si="3"/>
        <v>72</v>
      </c>
      <c r="M77">
        <v>0</v>
      </c>
    </row>
    <row r="78" spans="1:14" x14ac:dyDescent="0.3">
      <c r="A78" s="10">
        <v>27061</v>
      </c>
      <c r="B78" s="11">
        <v>5.2</v>
      </c>
      <c r="C78" s="6">
        <v>0.212706913054584</v>
      </c>
      <c r="L78" s="18">
        <f t="shared" si="3"/>
        <v>73</v>
      </c>
      <c r="M78">
        <v>0</v>
      </c>
    </row>
    <row r="79" spans="1:14" x14ac:dyDescent="0.3">
      <c r="A79" s="10">
        <v>27089</v>
      </c>
      <c r="B79" s="11">
        <v>5.0999999999999996</v>
      </c>
      <c r="C79" s="6">
        <v>0.770194606027924</v>
      </c>
      <c r="L79" s="18">
        <f t="shared" si="3"/>
        <v>74</v>
      </c>
      <c r="M79">
        <v>0</v>
      </c>
    </row>
    <row r="80" spans="1:14" x14ac:dyDescent="0.3">
      <c r="A80" s="10">
        <v>27120</v>
      </c>
      <c r="B80" s="11">
        <v>5.0999999999999996</v>
      </c>
      <c r="C80" s="6">
        <v>0.39214074872029597</v>
      </c>
      <c r="L80" s="18">
        <f t="shared" si="3"/>
        <v>75</v>
      </c>
      <c r="M80">
        <v>0</v>
      </c>
    </row>
    <row r="81" spans="1:13" x14ac:dyDescent="0.3">
      <c r="A81" s="10">
        <v>27150</v>
      </c>
      <c r="B81" s="11">
        <v>5.0999999999999996</v>
      </c>
      <c r="C81" s="6">
        <v>0.34947063349413598</v>
      </c>
      <c r="L81" s="18">
        <f t="shared" si="3"/>
        <v>76</v>
      </c>
      <c r="M81">
        <v>0</v>
      </c>
    </row>
    <row r="82" spans="1:13" x14ac:dyDescent="0.3">
      <c r="A82" s="10">
        <v>27181</v>
      </c>
      <c r="B82" s="11">
        <v>5.4</v>
      </c>
      <c r="C82" s="6">
        <v>0.241283407971432</v>
      </c>
      <c r="L82" s="18">
        <f t="shared" si="3"/>
        <v>77</v>
      </c>
      <c r="M82">
        <v>0</v>
      </c>
    </row>
    <row r="83" spans="1:13" x14ac:dyDescent="0.3">
      <c r="A83" s="10">
        <v>27211</v>
      </c>
      <c r="B83" s="11">
        <v>5.5</v>
      </c>
      <c r="C83" s="6">
        <v>-0.13950092428390101</v>
      </c>
      <c r="L83" s="18">
        <f t="shared" si="3"/>
        <v>78</v>
      </c>
      <c r="M83">
        <v>0</v>
      </c>
    </row>
    <row r="84" spans="1:13" x14ac:dyDescent="0.3">
      <c r="A84" s="10">
        <v>27242</v>
      </c>
      <c r="B84" s="11">
        <v>5.5</v>
      </c>
      <c r="C84" s="6">
        <v>-3.6659304068447397E-2</v>
      </c>
      <c r="L84" s="18">
        <f t="shared" si="3"/>
        <v>79</v>
      </c>
      <c r="M84">
        <v>0</v>
      </c>
    </row>
    <row r="85" spans="1:13" x14ac:dyDescent="0.3">
      <c r="A85" s="10">
        <v>27273</v>
      </c>
      <c r="B85" s="11">
        <v>5.9</v>
      </c>
      <c r="C85" s="6">
        <v>-0.42704065772553201</v>
      </c>
      <c r="L85" s="18">
        <f t="shared" si="3"/>
        <v>80</v>
      </c>
      <c r="M85">
        <v>0</v>
      </c>
    </row>
    <row r="86" spans="1:13" x14ac:dyDescent="0.3">
      <c r="A86" s="10">
        <v>27303</v>
      </c>
      <c r="B86" s="11">
        <v>6</v>
      </c>
      <c r="C86" s="6">
        <v>-0.302811325496677</v>
      </c>
      <c r="L86" s="18">
        <f t="shared" si="3"/>
        <v>81</v>
      </c>
      <c r="M86">
        <v>0</v>
      </c>
    </row>
    <row r="87" spans="1:13" x14ac:dyDescent="0.3">
      <c r="A87" s="10">
        <v>27334</v>
      </c>
      <c r="B87" s="11">
        <v>6.6</v>
      </c>
      <c r="C87" s="6">
        <v>0.29243979726387598</v>
      </c>
      <c r="L87" s="18">
        <f t="shared" si="3"/>
        <v>82</v>
      </c>
      <c r="M87">
        <v>0</v>
      </c>
    </row>
    <row r="88" spans="1:13" x14ac:dyDescent="0.3">
      <c r="A88" s="10">
        <v>27364</v>
      </c>
      <c r="B88" s="11">
        <v>7.2</v>
      </c>
      <c r="C88" s="6">
        <v>-0.23374685383195001</v>
      </c>
      <c r="L88" s="18">
        <f t="shared" si="3"/>
        <v>83</v>
      </c>
      <c r="M88">
        <v>0</v>
      </c>
    </row>
    <row r="89" spans="1:13" x14ac:dyDescent="0.3">
      <c r="A89" s="10">
        <v>27395</v>
      </c>
      <c r="B89" s="11">
        <v>8.1</v>
      </c>
      <c r="C89" s="6">
        <v>-0.34567436214422698</v>
      </c>
      <c r="L89" s="18">
        <f t="shared" si="3"/>
        <v>84</v>
      </c>
      <c r="M89">
        <v>0</v>
      </c>
    </row>
    <row r="90" spans="1:13" x14ac:dyDescent="0.3">
      <c r="A90" s="10">
        <v>27426</v>
      </c>
      <c r="B90" s="11">
        <v>8.1</v>
      </c>
      <c r="C90" s="6">
        <v>0.26988338458636602</v>
      </c>
      <c r="L90" s="18">
        <f t="shared" si="3"/>
        <v>85</v>
      </c>
      <c r="M90">
        <v>0</v>
      </c>
    </row>
    <row r="91" spans="1:13" x14ac:dyDescent="0.3">
      <c r="A91" s="10">
        <v>27454</v>
      </c>
      <c r="B91" s="11">
        <v>8.6</v>
      </c>
      <c r="C91" s="6">
        <v>-0.40833157896008299</v>
      </c>
      <c r="L91" s="18">
        <f t="shared" si="3"/>
        <v>86</v>
      </c>
      <c r="M91">
        <v>0</v>
      </c>
    </row>
    <row r="92" spans="1:13" x14ac:dyDescent="0.3">
      <c r="A92" s="10">
        <v>27485</v>
      </c>
      <c r="B92" s="11">
        <v>8.8000000000000007</v>
      </c>
      <c r="C92" s="6">
        <v>-0.58286072543936296</v>
      </c>
      <c r="L92" s="18">
        <f t="shared" si="3"/>
        <v>87</v>
      </c>
      <c r="M92">
        <v>0</v>
      </c>
    </row>
    <row r="93" spans="1:13" x14ac:dyDescent="0.3">
      <c r="A93" s="10">
        <v>27515</v>
      </c>
      <c r="B93" s="11">
        <v>9</v>
      </c>
      <c r="C93" s="6">
        <v>0.134867186391952</v>
      </c>
      <c r="L93" s="18">
        <f t="shared" si="3"/>
        <v>88</v>
      </c>
      <c r="M93">
        <v>0</v>
      </c>
    </row>
    <row r="94" spans="1:13" x14ac:dyDescent="0.3">
      <c r="A94" s="10">
        <v>27546</v>
      </c>
      <c r="B94" s="11">
        <v>8.8000000000000007</v>
      </c>
      <c r="C94" s="6">
        <v>0.18252814464210601</v>
      </c>
      <c r="L94" s="18">
        <f t="shared" si="3"/>
        <v>89</v>
      </c>
      <c r="M94">
        <v>0</v>
      </c>
    </row>
    <row r="95" spans="1:13" x14ac:dyDescent="0.3">
      <c r="A95" s="10">
        <v>27576</v>
      </c>
      <c r="B95" s="11">
        <v>8.6</v>
      </c>
      <c r="C95" s="6">
        <v>3.9482653645580998E-2</v>
      </c>
      <c r="L95" s="18">
        <f t="shared" si="3"/>
        <v>90</v>
      </c>
      <c r="M95">
        <v>0</v>
      </c>
    </row>
    <row r="96" spans="1:13" x14ac:dyDescent="0.3">
      <c r="A96" s="10">
        <v>27607</v>
      </c>
      <c r="B96" s="11">
        <v>8.4</v>
      </c>
      <c r="C96" s="6">
        <v>-0.16479693748264401</v>
      </c>
      <c r="L96" s="18">
        <f t="shared" si="3"/>
        <v>91</v>
      </c>
      <c r="M96">
        <v>0</v>
      </c>
    </row>
    <row r="97" spans="1:13" x14ac:dyDescent="0.3">
      <c r="A97" s="10">
        <v>27638</v>
      </c>
      <c r="B97" s="11">
        <v>8.4</v>
      </c>
      <c r="C97" s="6">
        <v>-0.124206150565632</v>
      </c>
      <c r="L97" s="18">
        <f t="shared" si="3"/>
        <v>92</v>
      </c>
      <c r="M97">
        <v>0</v>
      </c>
    </row>
    <row r="98" spans="1:13" x14ac:dyDescent="0.3">
      <c r="A98" s="10">
        <v>27668</v>
      </c>
      <c r="B98" s="11">
        <v>8.4</v>
      </c>
      <c r="C98" s="6">
        <v>-0.200377787821194</v>
      </c>
      <c r="L98" s="18">
        <f t="shared" si="3"/>
        <v>93</v>
      </c>
      <c r="M98">
        <v>0</v>
      </c>
    </row>
    <row r="99" spans="1:13" x14ac:dyDescent="0.3">
      <c r="A99" s="10">
        <v>27699</v>
      </c>
      <c r="B99" s="11">
        <v>8.3000000000000007</v>
      </c>
      <c r="C99" s="6">
        <v>-0.30930587859033398</v>
      </c>
      <c r="L99" s="18">
        <f t="shared" si="3"/>
        <v>94</v>
      </c>
      <c r="M99">
        <v>0</v>
      </c>
    </row>
    <row r="100" spans="1:13" x14ac:dyDescent="0.3">
      <c r="A100" s="10">
        <v>27729</v>
      </c>
      <c r="B100" s="11">
        <v>8.1999999999999993</v>
      </c>
      <c r="C100" s="6">
        <v>0.22555393766359599</v>
      </c>
      <c r="L100" s="18">
        <f t="shared" si="3"/>
        <v>95</v>
      </c>
      <c r="M100">
        <v>0</v>
      </c>
    </row>
    <row r="101" spans="1:13" x14ac:dyDescent="0.3">
      <c r="A101" s="10">
        <v>27760</v>
      </c>
      <c r="B101" s="11">
        <v>7.9</v>
      </c>
      <c r="C101" s="6">
        <v>-0.10976466373950999</v>
      </c>
      <c r="L101" s="18">
        <f t="shared" si="3"/>
        <v>96</v>
      </c>
      <c r="M101">
        <v>0</v>
      </c>
    </row>
    <row r="102" spans="1:13" x14ac:dyDescent="0.3">
      <c r="A102" s="10">
        <v>27791</v>
      </c>
      <c r="B102" s="11">
        <v>7.7</v>
      </c>
      <c r="C102" s="6">
        <v>-0.46628041080430599</v>
      </c>
      <c r="L102" s="18">
        <f t="shared" si="3"/>
        <v>97</v>
      </c>
      <c r="M102">
        <v>0</v>
      </c>
    </row>
    <row r="103" spans="1:13" x14ac:dyDescent="0.3">
      <c r="A103" s="10">
        <v>27820</v>
      </c>
      <c r="B103" s="11">
        <v>7.6</v>
      </c>
      <c r="C103" s="6">
        <v>-0.261476563151809</v>
      </c>
      <c r="L103" s="18">
        <f t="shared" si="3"/>
        <v>98</v>
      </c>
      <c r="M103">
        <v>0</v>
      </c>
    </row>
    <row r="104" spans="1:13" x14ac:dyDescent="0.3">
      <c r="A104" s="10">
        <v>27851</v>
      </c>
      <c r="B104" s="11">
        <v>7.7</v>
      </c>
      <c r="C104" s="6">
        <v>0.12958118205617</v>
      </c>
      <c r="L104" s="18">
        <f t="shared" si="3"/>
        <v>99</v>
      </c>
      <c r="M104">
        <v>0</v>
      </c>
    </row>
    <row r="105" spans="1:13" x14ac:dyDescent="0.3">
      <c r="A105" s="10">
        <v>27881</v>
      </c>
      <c r="B105" s="11">
        <v>7.4</v>
      </c>
      <c r="C105" s="6">
        <v>-0.27018966437248898</v>
      </c>
      <c r="L105" s="18">
        <f t="shared" si="3"/>
        <v>100</v>
      </c>
      <c r="M105">
        <v>0</v>
      </c>
    </row>
    <row r="106" spans="1:13" x14ac:dyDescent="0.3">
      <c r="A106" s="10">
        <v>27912</v>
      </c>
      <c r="B106" s="11">
        <v>7.6</v>
      </c>
      <c r="C106" s="6">
        <v>-3.0221196686353001E-2</v>
      </c>
      <c r="L106" s="18">
        <f t="shared" si="3"/>
        <v>101</v>
      </c>
    </row>
    <row r="107" spans="1:13" x14ac:dyDescent="0.3">
      <c r="A107" s="10">
        <v>27942</v>
      </c>
      <c r="B107" s="11">
        <v>7.8</v>
      </c>
      <c r="C107" s="6">
        <v>-0.138846282105655</v>
      </c>
      <c r="L107" s="18">
        <f t="shared" si="3"/>
        <v>102</v>
      </c>
    </row>
    <row r="108" spans="1:13" x14ac:dyDescent="0.3">
      <c r="A108" s="10">
        <v>27973</v>
      </c>
      <c r="B108" s="11">
        <v>7.8</v>
      </c>
      <c r="C108" s="6">
        <v>-5.2407515829417897E-2</v>
      </c>
      <c r="L108" s="18">
        <f t="shared" si="3"/>
        <v>103</v>
      </c>
    </row>
    <row r="109" spans="1:13" x14ac:dyDescent="0.3">
      <c r="A109" s="10">
        <v>28004</v>
      </c>
      <c r="B109" s="11">
        <v>7.6</v>
      </c>
      <c r="C109" s="6">
        <v>-6.8541069903740801E-3</v>
      </c>
      <c r="L109" s="18">
        <f t="shared" si="3"/>
        <v>104</v>
      </c>
    </row>
    <row r="110" spans="1:13" x14ac:dyDescent="0.3">
      <c r="A110" s="10">
        <v>28034</v>
      </c>
      <c r="B110" s="11">
        <v>7.7</v>
      </c>
      <c r="C110" s="6">
        <v>-7.8599232906756494E-2</v>
      </c>
      <c r="L110" s="18">
        <f t="shared" si="3"/>
        <v>105</v>
      </c>
    </row>
    <row r="111" spans="1:13" x14ac:dyDescent="0.3">
      <c r="A111" s="10">
        <v>28065</v>
      </c>
      <c r="B111" s="11">
        <v>7.8</v>
      </c>
      <c r="C111" s="6">
        <v>-1.7583812334820401E-4</v>
      </c>
    </row>
    <row r="112" spans="1:13" x14ac:dyDescent="0.3">
      <c r="A112" s="10">
        <v>28095</v>
      </c>
      <c r="B112" s="11">
        <v>7.8</v>
      </c>
      <c r="C112" s="6">
        <v>-0.115101947331742</v>
      </c>
    </row>
    <row r="113" spans="1:3" x14ac:dyDescent="0.3">
      <c r="A113" s="10">
        <v>28126</v>
      </c>
      <c r="B113" s="11">
        <v>7.5</v>
      </c>
      <c r="C113" s="6">
        <v>-0.127072745290531</v>
      </c>
    </row>
    <row r="114" spans="1:3" x14ac:dyDescent="0.3">
      <c r="A114" s="10">
        <v>28157</v>
      </c>
      <c r="B114" s="11">
        <v>7.6</v>
      </c>
      <c r="C114" s="6">
        <v>-0.15030621741518799</v>
      </c>
    </row>
    <row r="115" spans="1:3" x14ac:dyDescent="0.3">
      <c r="A115" s="10">
        <v>28185</v>
      </c>
      <c r="B115" s="11">
        <v>7.4</v>
      </c>
      <c r="C115" s="6">
        <v>-0.253901959023908</v>
      </c>
    </row>
    <row r="116" spans="1:3" x14ac:dyDescent="0.3">
      <c r="A116" s="10">
        <v>28216</v>
      </c>
      <c r="B116" s="11">
        <v>7.2</v>
      </c>
      <c r="C116" s="6">
        <v>-9.3288541689562604E-2</v>
      </c>
    </row>
    <row r="117" spans="1:3" x14ac:dyDescent="0.3">
      <c r="A117" s="10">
        <v>28246</v>
      </c>
      <c r="B117" s="11">
        <v>7</v>
      </c>
      <c r="C117" s="6">
        <v>-9.2914348756829496E-2</v>
      </c>
    </row>
    <row r="118" spans="1:3" x14ac:dyDescent="0.3">
      <c r="A118" s="10">
        <v>28277</v>
      </c>
      <c r="B118" s="11">
        <v>7.2</v>
      </c>
      <c r="C118" s="6">
        <v>-0.17873009427269401</v>
      </c>
    </row>
    <row r="119" spans="1:3" x14ac:dyDescent="0.3">
      <c r="A119" s="10">
        <v>28307</v>
      </c>
      <c r="B119" s="11">
        <v>6.9</v>
      </c>
      <c r="C119" s="6">
        <v>-0.27144133073742699</v>
      </c>
    </row>
    <row r="120" spans="1:3" x14ac:dyDescent="0.3">
      <c r="A120" s="10">
        <v>28338</v>
      </c>
      <c r="B120" s="11">
        <v>7</v>
      </c>
      <c r="C120" s="6">
        <v>-1.81982834681099E-3</v>
      </c>
    </row>
    <row r="121" spans="1:3" x14ac:dyDescent="0.3">
      <c r="A121" s="10">
        <v>28369</v>
      </c>
      <c r="B121" s="11">
        <v>6.8</v>
      </c>
      <c r="C121" s="6">
        <v>5.1543749116314701E-2</v>
      </c>
    </row>
    <row r="122" spans="1:3" x14ac:dyDescent="0.3">
      <c r="A122" s="10">
        <v>28399</v>
      </c>
      <c r="B122" s="11">
        <v>6.8</v>
      </c>
      <c r="C122" s="6">
        <v>-3.6438085819916401E-2</v>
      </c>
    </row>
    <row r="123" spans="1:3" x14ac:dyDescent="0.3">
      <c r="A123" s="10">
        <v>28430</v>
      </c>
      <c r="B123" s="11">
        <v>6.8</v>
      </c>
      <c r="C123" s="6">
        <v>-6.8724748065324207E-2</v>
      </c>
    </row>
    <row r="124" spans="1:3" x14ac:dyDescent="0.3">
      <c r="A124" s="10">
        <v>28460</v>
      </c>
      <c r="B124" s="11">
        <v>6.4</v>
      </c>
      <c r="C124" s="6">
        <v>-0.11843911516218</v>
      </c>
    </row>
    <row r="125" spans="1:3" x14ac:dyDescent="0.3">
      <c r="A125" s="10">
        <v>28491</v>
      </c>
      <c r="B125" s="11">
        <v>6.4</v>
      </c>
      <c r="C125" s="6">
        <v>-0.21608825130950801</v>
      </c>
    </row>
    <row r="126" spans="1:3" x14ac:dyDescent="0.3">
      <c r="A126" s="10">
        <v>28522</v>
      </c>
      <c r="B126" s="11">
        <v>6.3</v>
      </c>
      <c r="C126" s="6">
        <v>5.29469496371575E-2</v>
      </c>
    </row>
    <row r="127" spans="1:3" x14ac:dyDescent="0.3">
      <c r="A127" s="10">
        <v>28550</v>
      </c>
      <c r="B127" s="11">
        <v>6.3</v>
      </c>
      <c r="C127" s="6">
        <v>-4.6528628740538603E-3</v>
      </c>
    </row>
    <row r="128" spans="1:3" x14ac:dyDescent="0.3">
      <c r="A128" s="10">
        <v>28581</v>
      </c>
      <c r="B128" s="11">
        <v>6.1</v>
      </c>
      <c r="C128" s="6">
        <v>-9.9146861395045999E-2</v>
      </c>
    </row>
    <row r="129" spans="1:3" x14ac:dyDescent="0.3">
      <c r="A129" s="10">
        <v>28611</v>
      </c>
      <c r="B129" s="11">
        <v>6</v>
      </c>
      <c r="C129" s="6">
        <v>-0.23678895054659799</v>
      </c>
    </row>
    <row r="130" spans="1:3" x14ac:dyDescent="0.3">
      <c r="A130" s="10">
        <v>28642</v>
      </c>
      <c r="B130" s="11">
        <v>5.9</v>
      </c>
      <c r="C130" s="6">
        <v>0.19166484612642101</v>
      </c>
    </row>
    <row r="131" spans="1:3" x14ac:dyDescent="0.3">
      <c r="A131" s="10">
        <v>28672</v>
      </c>
      <c r="B131" s="11">
        <v>6.2</v>
      </c>
      <c r="C131" s="6">
        <v>-0.15353847460674599</v>
      </c>
    </row>
    <row r="132" spans="1:3" x14ac:dyDescent="0.3">
      <c r="A132" s="10">
        <v>28703</v>
      </c>
      <c r="B132" s="11">
        <v>5.9</v>
      </c>
      <c r="C132" s="6">
        <v>-9.3725490089500305E-2</v>
      </c>
    </row>
    <row r="133" spans="1:3" x14ac:dyDescent="0.3">
      <c r="A133" s="10">
        <v>28734</v>
      </c>
      <c r="B133" s="11">
        <v>6</v>
      </c>
      <c r="C133" s="6">
        <v>-0.17579941359582099</v>
      </c>
    </row>
    <row r="134" spans="1:3" x14ac:dyDescent="0.3">
      <c r="A134" s="10">
        <v>28764</v>
      </c>
      <c r="B134" s="11">
        <v>5.8</v>
      </c>
      <c r="C134" s="6">
        <v>0.12520746813231501</v>
      </c>
    </row>
    <row r="135" spans="1:3" x14ac:dyDescent="0.3">
      <c r="A135" s="10">
        <v>28795</v>
      </c>
      <c r="B135" s="11">
        <v>5.9</v>
      </c>
      <c r="C135" s="6">
        <v>0.14241194076225999</v>
      </c>
    </row>
    <row r="136" spans="1:3" x14ac:dyDescent="0.3">
      <c r="A136" s="10">
        <v>28825</v>
      </c>
      <c r="B136" s="11">
        <v>6</v>
      </c>
      <c r="C136" s="6">
        <v>-6.8857670868193693E-2</v>
      </c>
    </row>
    <row r="137" spans="1:3" x14ac:dyDescent="0.3">
      <c r="A137" s="10">
        <v>28856</v>
      </c>
      <c r="B137" s="11">
        <v>5.9</v>
      </c>
      <c r="C137" s="6">
        <v>0</v>
      </c>
    </row>
    <row r="138" spans="1:3" x14ac:dyDescent="0.3">
      <c r="A138" s="10">
        <v>28887</v>
      </c>
      <c r="B138" s="11">
        <v>5.9</v>
      </c>
      <c r="C138" s="6">
        <v>-0.19720102702296</v>
      </c>
    </row>
    <row r="139" spans="1:3" x14ac:dyDescent="0.3">
      <c r="A139" s="10">
        <v>28915</v>
      </c>
      <c r="B139" s="11">
        <v>5.8</v>
      </c>
      <c r="C139" s="6">
        <v>7.1891346022195102E-2</v>
      </c>
    </row>
    <row r="140" spans="1:3" x14ac:dyDescent="0.3">
      <c r="A140" s="10">
        <v>28946</v>
      </c>
      <c r="B140" s="11">
        <v>5.8</v>
      </c>
      <c r="C140" s="6">
        <v>-9.8781404836931402E-2</v>
      </c>
    </row>
    <row r="141" spans="1:3" x14ac:dyDescent="0.3">
      <c r="A141" s="10">
        <v>28976</v>
      </c>
      <c r="B141" s="11">
        <v>5.6</v>
      </c>
      <c r="C141" s="6">
        <v>6.20955012586396E-2</v>
      </c>
    </row>
    <row r="142" spans="1:3" x14ac:dyDescent="0.3">
      <c r="A142" s="10">
        <v>29007</v>
      </c>
      <c r="B142" s="11">
        <v>5.7</v>
      </c>
      <c r="C142" s="6">
        <v>0</v>
      </c>
    </row>
    <row r="143" spans="1:3" x14ac:dyDescent="0.3">
      <c r="A143" s="10">
        <v>29037</v>
      </c>
      <c r="B143" s="11">
        <v>5.7</v>
      </c>
      <c r="C143" s="6">
        <v>0.709816485497476</v>
      </c>
    </row>
    <row r="144" spans="1:3" x14ac:dyDescent="0.3">
      <c r="A144" s="10">
        <v>29068</v>
      </c>
      <c r="B144" s="11">
        <v>6</v>
      </c>
      <c r="C144" s="6">
        <v>0.36693784354183701</v>
      </c>
    </row>
    <row r="145" spans="1:3" x14ac:dyDescent="0.3">
      <c r="A145" s="10">
        <v>29099</v>
      </c>
      <c r="B145" s="11">
        <v>5.9</v>
      </c>
      <c r="C145" s="6">
        <v>-0.14829690963638301</v>
      </c>
    </row>
    <row r="146" spans="1:3" x14ac:dyDescent="0.3">
      <c r="A146" s="10">
        <v>29129</v>
      </c>
      <c r="B146" s="11">
        <v>6</v>
      </c>
      <c r="C146" s="6">
        <v>0</v>
      </c>
    </row>
    <row r="147" spans="1:3" x14ac:dyDescent="0.3">
      <c r="A147" s="10">
        <v>29160</v>
      </c>
      <c r="B147" s="11">
        <v>5.9</v>
      </c>
      <c r="C147" s="6">
        <v>0.104340924152063</v>
      </c>
    </row>
    <row r="148" spans="1:3" x14ac:dyDescent="0.3">
      <c r="A148" s="10">
        <v>29190</v>
      </c>
      <c r="B148" s="11">
        <v>6</v>
      </c>
      <c r="C148" s="6">
        <v>0</v>
      </c>
    </row>
    <row r="149" spans="1:3" x14ac:dyDescent="0.3">
      <c r="A149" s="10">
        <v>29221</v>
      </c>
      <c r="B149" s="11">
        <v>6.3</v>
      </c>
      <c r="C149" s="6">
        <v>7.1538109911689296E-2</v>
      </c>
    </row>
    <row r="150" spans="1:3" x14ac:dyDescent="0.3">
      <c r="A150" s="10">
        <v>29252</v>
      </c>
      <c r="B150" s="11">
        <v>6.3</v>
      </c>
      <c r="C150" s="6">
        <v>0.271399043204195</v>
      </c>
    </row>
    <row r="151" spans="1:3" x14ac:dyDescent="0.3">
      <c r="A151" s="10">
        <v>29281</v>
      </c>
      <c r="B151" s="11">
        <v>6.3</v>
      </c>
      <c r="C151" s="6">
        <v>1.4036364260744201</v>
      </c>
    </row>
    <row r="152" spans="1:3" x14ac:dyDescent="0.3">
      <c r="A152" s="10">
        <v>29312</v>
      </c>
      <c r="B152" s="11">
        <v>6.9</v>
      </c>
      <c r="C152" s="6">
        <v>-3.2661196210439898</v>
      </c>
    </row>
    <row r="153" spans="1:3" x14ac:dyDescent="0.3">
      <c r="A153" s="10">
        <v>29342</v>
      </c>
      <c r="B153" s="11">
        <v>7.5</v>
      </c>
      <c r="C153" s="6">
        <v>-0.77675207885686903</v>
      </c>
    </row>
    <row r="154" spans="1:3" x14ac:dyDescent="0.3">
      <c r="A154" s="10">
        <v>29373</v>
      </c>
      <c r="B154" s="11">
        <v>7.6</v>
      </c>
      <c r="C154" s="6">
        <v>0</v>
      </c>
    </row>
    <row r="155" spans="1:3" x14ac:dyDescent="0.3">
      <c r="A155" s="10">
        <v>29403</v>
      </c>
      <c r="B155" s="11">
        <v>7.8</v>
      </c>
      <c r="C155" s="6">
        <v>0.41616988481684902</v>
      </c>
    </row>
    <row r="156" spans="1:3" x14ac:dyDescent="0.3">
      <c r="A156" s="10">
        <v>29434</v>
      </c>
      <c r="B156" s="11">
        <v>7.7</v>
      </c>
      <c r="C156" s="6">
        <v>-8.8826344077941002E-2</v>
      </c>
    </row>
    <row r="157" spans="1:3" x14ac:dyDescent="0.3">
      <c r="A157" s="10">
        <v>29465</v>
      </c>
      <c r="B157" s="11">
        <v>7.5</v>
      </c>
      <c r="C157" s="6">
        <v>0.84559232557766395</v>
      </c>
    </row>
    <row r="158" spans="1:3" x14ac:dyDescent="0.3">
      <c r="A158" s="10">
        <v>29495</v>
      </c>
      <c r="B158" s="11">
        <v>7.5</v>
      </c>
      <c r="C158" s="6">
        <v>1.2755417113949199</v>
      </c>
    </row>
    <row r="159" spans="1:3" x14ac:dyDescent="0.3">
      <c r="A159" s="10">
        <v>29526</v>
      </c>
      <c r="B159" s="11">
        <v>7.5</v>
      </c>
      <c r="C159" s="6">
        <v>1.8740753204401801</v>
      </c>
    </row>
    <row r="160" spans="1:3" x14ac:dyDescent="0.3">
      <c r="A160" s="10">
        <v>29556</v>
      </c>
      <c r="B160" s="11">
        <v>7.2</v>
      </c>
      <c r="C160" s="6">
        <v>-0.65202210008486405</v>
      </c>
    </row>
    <row r="161" spans="1:3" x14ac:dyDescent="0.3">
      <c r="A161" s="10">
        <v>29587</v>
      </c>
      <c r="B161" s="11">
        <v>7.5</v>
      </c>
      <c r="C161" s="6">
        <v>0</v>
      </c>
    </row>
    <row r="162" spans="1:3" x14ac:dyDescent="0.3">
      <c r="A162" s="10">
        <v>29618</v>
      </c>
      <c r="B162" s="11">
        <v>7.4</v>
      </c>
      <c r="C162" s="6">
        <v>-0.76058935710949505</v>
      </c>
    </row>
    <row r="163" spans="1:3" x14ac:dyDescent="0.3">
      <c r="A163" s="10">
        <v>29646</v>
      </c>
      <c r="B163" s="11">
        <v>7.4</v>
      </c>
      <c r="C163" s="6">
        <v>0.30937937721075598</v>
      </c>
    </row>
    <row r="164" spans="1:3" x14ac:dyDescent="0.3">
      <c r="A164" s="10">
        <v>29677</v>
      </c>
      <c r="B164" s="11">
        <v>7.2</v>
      </c>
      <c r="C164" s="6">
        <v>0</v>
      </c>
    </row>
    <row r="165" spans="1:3" x14ac:dyDescent="0.3">
      <c r="A165" s="10">
        <v>29707</v>
      </c>
      <c r="B165" s="11">
        <v>7.5</v>
      </c>
      <c r="C165" s="6">
        <v>1.4990875950595799</v>
      </c>
    </row>
    <row r="166" spans="1:3" x14ac:dyDescent="0.3">
      <c r="A166" s="10">
        <v>29738</v>
      </c>
      <c r="B166" s="11">
        <v>7.5</v>
      </c>
      <c r="C166" s="6">
        <v>0</v>
      </c>
    </row>
    <row r="167" spans="1:3" x14ac:dyDescent="0.3">
      <c r="A167" s="10">
        <v>29768</v>
      </c>
      <c r="B167" s="11">
        <v>7.2</v>
      </c>
      <c r="C167" s="6">
        <v>-0.675621140761823</v>
      </c>
    </row>
    <row r="168" spans="1:3" x14ac:dyDescent="0.3">
      <c r="A168" s="10">
        <v>29799</v>
      </c>
      <c r="B168" s="11">
        <v>7.4</v>
      </c>
      <c r="C168" s="6">
        <v>-7.9615829108453703E-2</v>
      </c>
    </row>
    <row r="169" spans="1:3" x14ac:dyDescent="0.3">
      <c r="A169" s="10">
        <v>29830</v>
      </c>
      <c r="B169" s="11">
        <v>7.6</v>
      </c>
      <c r="C169" s="6">
        <v>0</v>
      </c>
    </row>
    <row r="170" spans="1:3" x14ac:dyDescent="0.3">
      <c r="A170" s="10">
        <v>29860</v>
      </c>
      <c r="B170" s="11">
        <v>7.9</v>
      </c>
      <c r="C170" s="6">
        <v>-0.53119979776720905</v>
      </c>
    </row>
    <row r="171" spans="1:3" x14ac:dyDescent="0.3">
      <c r="A171" s="10">
        <v>29891</v>
      </c>
      <c r="B171" s="11">
        <v>8.3000000000000007</v>
      </c>
      <c r="C171" s="6">
        <v>-0.39645813619607101</v>
      </c>
    </row>
    <row r="172" spans="1:3" x14ac:dyDescent="0.3">
      <c r="A172" s="10">
        <v>29921</v>
      </c>
      <c r="B172" s="11">
        <v>8.5</v>
      </c>
      <c r="C172" s="6">
        <v>0.113977128297162</v>
      </c>
    </row>
    <row r="173" spans="1:3" x14ac:dyDescent="0.3">
      <c r="A173" s="10">
        <v>29952</v>
      </c>
      <c r="B173" s="11">
        <v>8.6</v>
      </c>
      <c r="C173" s="6">
        <v>0</v>
      </c>
    </row>
    <row r="174" spans="1:3" x14ac:dyDescent="0.3">
      <c r="A174" s="10">
        <v>29983</v>
      </c>
      <c r="B174" s="11">
        <v>8.9</v>
      </c>
      <c r="C174" s="6">
        <v>1.0132477957961299</v>
      </c>
    </row>
    <row r="175" spans="1:3" x14ac:dyDescent="0.3">
      <c r="A175" s="10">
        <v>30011</v>
      </c>
      <c r="B175" s="11">
        <v>9</v>
      </c>
      <c r="C175" s="6">
        <v>-0.407589655336348</v>
      </c>
    </row>
    <row r="176" spans="1:3" x14ac:dyDescent="0.3">
      <c r="A176" s="10">
        <v>30042</v>
      </c>
      <c r="B176" s="11">
        <v>9.3000000000000007</v>
      </c>
      <c r="C176" s="6">
        <v>0</v>
      </c>
    </row>
    <row r="177" spans="1:3" x14ac:dyDescent="0.3">
      <c r="A177" s="10">
        <v>30072</v>
      </c>
      <c r="B177" s="11">
        <v>9.4</v>
      </c>
      <c r="C177" s="6">
        <v>-0.103984142917706</v>
      </c>
    </row>
    <row r="178" spans="1:3" x14ac:dyDescent="0.3">
      <c r="A178" s="10">
        <v>30103</v>
      </c>
      <c r="B178" s="11">
        <v>9.6</v>
      </c>
      <c r="C178" s="6">
        <v>0</v>
      </c>
    </row>
    <row r="179" spans="1:3" x14ac:dyDescent="0.3">
      <c r="A179" s="10">
        <v>30133</v>
      </c>
      <c r="B179" s="11">
        <v>9.8000000000000007</v>
      </c>
      <c r="C179" s="6">
        <v>-0.19917965032034901</v>
      </c>
    </row>
    <row r="180" spans="1:3" x14ac:dyDescent="0.3">
      <c r="A180" s="10">
        <v>30164</v>
      </c>
      <c r="B180" s="11">
        <v>9.8000000000000007</v>
      </c>
      <c r="C180" s="6">
        <v>-0.24639522814381701</v>
      </c>
    </row>
    <row r="181" spans="1:3" x14ac:dyDescent="0.3">
      <c r="A181" s="10">
        <v>30195</v>
      </c>
      <c r="B181" s="11">
        <v>10.1</v>
      </c>
      <c r="C181" s="6">
        <v>0</v>
      </c>
    </row>
    <row r="182" spans="1:3" x14ac:dyDescent="0.3">
      <c r="A182" s="10">
        <v>30225</v>
      </c>
      <c r="B182" s="11">
        <v>10.4</v>
      </c>
      <c r="C182" s="6">
        <v>-0.25942175144281499</v>
      </c>
    </row>
    <row r="183" spans="1:3" x14ac:dyDescent="0.3">
      <c r="A183" s="10">
        <v>30256</v>
      </c>
      <c r="B183" s="11">
        <v>10.8</v>
      </c>
      <c r="C183" s="6">
        <v>8.0892140232446605E-2</v>
      </c>
    </row>
    <row r="184" spans="1:3" x14ac:dyDescent="0.3">
      <c r="A184" s="10">
        <v>30286</v>
      </c>
      <c r="B184" s="11">
        <v>10.8</v>
      </c>
      <c r="C184" s="6">
        <v>0.63975908760100397</v>
      </c>
    </row>
    <row r="185" spans="1:3" x14ac:dyDescent="0.3">
      <c r="A185" s="10">
        <v>30317</v>
      </c>
      <c r="B185" s="11">
        <v>10.4</v>
      </c>
      <c r="C185" s="6">
        <v>0</v>
      </c>
    </row>
    <row r="186" spans="1:3" x14ac:dyDescent="0.3">
      <c r="A186" s="10">
        <v>30348</v>
      </c>
      <c r="B186" s="11">
        <v>10.4</v>
      </c>
      <c r="C186" s="6">
        <v>0.205672950869523</v>
      </c>
    </row>
    <row r="187" spans="1:3" x14ac:dyDescent="0.3">
      <c r="A187" s="10">
        <v>30376</v>
      </c>
      <c r="B187" s="11">
        <v>10.3</v>
      </c>
      <c r="C187" s="6">
        <v>0.121127753973002</v>
      </c>
    </row>
    <row r="188" spans="1:3" x14ac:dyDescent="0.3">
      <c r="A188" s="10">
        <v>30407</v>
      </c>
      <c r="B188" s="11">
        <v>10.199999999999999</v>
      </c>
      <c r="C188" s="6">
        <v>0</v>
      </c>
    </row>
    <row r="189" spans="1:3" x14ac:dyDescent="0.3">
      <c r="A189" s="10">
        <v>30437</v>
      </c>
      <c r="B189" s="11">
        <v>10.1</v>
      </c>
      <c r="C189" s="6">
        <v>-2.1330086482576002E-2</v>
      </c>
    </row>
    <row r="190" spans="1:3" x14ac:dyDescent="0.3">
      <c r="A190" s="10">
        <v>30468</v>
      </c>
      <c r="B190" s="11">
        <v>10.1</v>
      </c>
      <c r="C190" s="6">
        <v>0</v>
      </c>
    </row>
    <row r="191" spans="1:3" x14ac:dyDescent="0.3">
      <c r="A191" s="10">
        <v>30498</v>
      </c>
      <c r="B191" s="11">
        <v>9.4</v>
      </c>
      <c r="C191" s="6">
        <v>2.1383050463851801E-2</v>
      </c>
    </row>
    <row r="192" spans="1:3" x14ac:dyDescent="0.3">
      <c r="A192" s="10">
        <v>30529</v>
      </c>
      <c r="B192" s="11">
        <v>9.5</v>
      </c>
      <c r="C192" s="6">
        <v>-0.24748939811419399</v>
      </c>
    </row>
    <row r="193" spans="1:3" x14ac:dyDescent="0.3">
      <c r="A193" s="10">
        <v>30560</v>
      </c>
      <c r="B193" s="11">
        <v>9.1999999999999993</v>
      </c>
      <c r="C193" s="6">
        <v>0</v>
      </c>
    </row>
    <row r="194" spans="1:3" x14ac:dyDescent="0.3">
      <c r="A194" s="10">
        <v>30590</v>
      </c>
      <c r="B194" s="11">
        <v>8.8000000000000007</v>
      </c>
      <c r="C194" s="6">
        <v>0.20398837033026801</v>
      </c>
    </row>
    <row r="195" spans="1:3" x14ac:dyDescent="0.3">
      <c r="A195" s="10">
        <v>30621</v>
      </c>
      <c r="B195" s="11">
        <v>8.5</v>
      </c>
      <c r="C195" s="6">
        <v>-0.16704957862313199</v>
      </c>
    </row>
    <row r="196" spans="1:3" x14ac:dyDescent="0.3">
      <c r="A196" s="10">
        <v>30651</v>
      </c>
      <c r="B196" s="11">
        <v>8.3000000000000007</v>
      </c>
      <c r="C196" s="6">
        <v>0.178251600797729</v>
      </c>
    </row>
    <row r="197" spans="1:3" x14ac:dyDescent="0.3">
      <c r="A197" s="10">
        <v>30682</v>
      </c>
      <c r="B197" s="11">
        <v>8</v>
      </c>
      <c r="C197" s="6">
        <v>0.215276601229523</v>
      </c>
    </row>
    <row r="198" spans="1:3" x14ac:dyDescent="0.3">
      <c r="A198" s="10">
        <v>30713</v>
      </c>
      <c r="B198" s="11">
        <v>7.8</v>
      </c>
      <c r="C198" s="6">
        <v>0</v>
      </c>
    </row>
    <row r="199" spans="1:3" x14ac:dyDescent="0.3">
      <c r="A199" s="10">
        <v>30742</v>
      </c>
      <c r="B199" s="11">
        <v>7.8</v>
      </c>
      <c r="C199" s="6">
        <v>-8.9843263305995805E-2</v>
      </c>
    </row>
    <row r="200" spans="1:3" x14ac:dyDescent="0.3">
      <c r="A200" s="10">
        <v>30773</v>
      </c>
      <c r="B200" s="11">
        <v>7.7</v>
      </c>
      <c r="C200" s="6">
        <v>0</v>
      </c>
    </row>
    <row r="201" spans="1:3" x14ac:dyDescent="0.3">
      <c r="A201" s="10">
        <v>30803</v>
      </c>
      <c r="B201" s="11">
        <v>7.4</v>
      </c>
      <c r="C201" s="6">
        <v>0.109078680753548</v>
      </c>
    </row>
    <row r="202" spans="1:3" x14ac:dyDescent="0.3">
      <c r="A202" s="10">
        <v>30834</v>
      </c>
      <c r="B202" s="11">
        <v>7.2</v>
      </c>
      <c r="C202" s="6">
        <v>0</v>
      </c>
    </row>
    <row r="203" spans="1:3" x14ac:dyDescent="0.3">
      <c r="A203" s="10">
        <v>30864</v>
      </c>
      <c r="B203" s="11">
        <v>7.5</v>
      </c>
      <c r="C203" s="6">
        <v>0.317517493189033</v>
      </c>
    </row>
    <row r="204" spans="1:3" x14ac:dyDescent="0.3">
      <c r="A204" s="10">
        <v>30895</v>
      </c>
      <c r="B204" s="11">
        <v>7.5</v>
      </c>
      <c r="C204" s="6">
        <v>-6.6783635526222795E-2</v>
      </c>
    </row>
    <row r="205" spans="1:3" x14ac:dyDescent="0.3">
      <c r="A205" s="10">
        <v>30926</v>
      </c>
      <c r="B205" s="11">
        <v>7.3</v>
      </c>
      <c r="C205" s="6">
        <v>0</v>
      </c>
    </row>
    <row r="206" spans="1:3" x14ac:dyDescent="0.3">
      <c r="A206" s="10">
        <v>30956</v>
      </c>
      <c r="B206" s="11">
        <v>7.4</v>
      </c>
      <c r="C206" s="6">
        <v>-1.8487161317627801E-2</v>
      </c>
    </row>
    <row r="207" spans="1:3" x14ac:dyDescent="0.3">
      <c r="A207" s="10">
        <v>30987</v>
      </c>
      <c r="B207" s="11">
        <v>7.2</v>
      </c>
      <c r="C207" s="6">
        <v>-0.55535912344993499</v>
      </c>
    </row>
    <row r="208" spans="1:3" x14ac:dyDescent="0.3">
      <c r="A208" s="10">
        <v>31017</v>
      </c>
      <c r="B208" s="11">
        <v>7.3</v>
      </c>
      <c r="C208" s="6">
        <v>-0.16160551073596499</v>
      </c>
    </row>
    <row r="209" spans="1:3" x14ac:dyDescent="0.3">
      <c r="A209" s="10">
        <v>31048</v>
      </c>
      <c r="B209" s="11">
        <v>7.3</v>
      </c>
      <c r="C209" s="6">
        <v>0</v>
      </c>
    </row>
    <row r="210" spans="1:3" x14ac:dyDescent="0.3">
      <c r="A210" s="10">
        <v>31079</v>
      </c>
      <c r="B210" s="11">
        <v>7.2</v>
      </c>
      <c r="C210" s="6">
        <v>-0.138385054131758</v>
      </c>
    </row>
    <row r="211" spans="1:3" x14ac:dyDescent="0.3">
      <c r="A211" s="10">
        <v>31107</v>
      </c>
      <c r="B211" s="11">
        <v>7.2</v>
      </c>
      <c r="C211" s="6">
        <v>0.21403857420366601</v>
      </c>
    </row>
    <row r="212" spans="1:3" x14ac:dyDescent="0.3">
      <c r="A212" s="10">
        <v>31138</v>
      </c>
      <c r="B212" s="11">
        <v>7.3</v>
      </c>
      <c r="C212" s="6">
        <v>0</v>
      </c>
    </row>
    <row r="213" spans="1:3" x14ac:dyDescent="0.3">
      <c r="A213" s="10">
        <v>31168</v>
      </c>
      <c r="B213" s="11">
        <v>7.2</v>
      </c>
      <c r="C213" s="6">
        <v>-0.133885132407839</v>
      </c>
    </row>
    <row r="214" spans="1:3" x14ac:dyDescent="0.3">
      <c r="A214" s="10">
        <v>31199</v>
      </c>
      <c r="B214" s="11">
        <v>7.4</v>
      </c>
      <c r="C214" s="6">
        <v>0</v>
      </c>
    </row>
    <row r="215" spans="1:3" x14ac:dyDescent="0.3">
      <c r="A215" s="10">
        <v>31229</v>
      </c>
      <c r="B215" s="11">
        <v>7.4</v>
      </c>
      <c r="C215" s="6">
        <v>6.4138598122173998E-2</v>
      </c>
    </row>
    <row r="216" spans="1:3" x14ac:dyDescent="0.3">
      <c r="A216" s="10">
        <v>31260</v>
      </c>
      <c r="B216" s="11">
        <v>7.1</v>
      </c>
      <c r="C216" s="6">
        <v>0.188083328865389</v>
      </c>
    </row>
    <row r="217" spans="1:3" x14ac:dyDescent="0.3">
      <c r="A217" s="10">
        <v>31291</v>
      </c>
      <c r="B217" s="11">
        <v>7.1</v>
      </c>
      <c r="C217" s="6">
        <v>0</v>
      </c>
    </row>
    <row r="218" spans="1:3" x14ac:dyDescent="0.3">
      <c r="A218" s="10">
        <v>31321</v>
      </c>
      <c r="B218" s="11">
        <v>7.1</v>
      </c>
      <c r="C218" s="6">
        <v>0.105075430231983</v>
      </c>
    </row>
    <row r="219" spans="1:3" x14ac:dyDescent="0.3">
      <c r="A219" s="10">
        <v>31352</v>
      </c>
      <c r="B219" s="11">
        <v>7</v>
      </c>
      <c r="C219" s="6">
        <v>9.2510194739625594E-3</v>
      </c>
    </row>
    <row r="220" spans="1:3" x14ac:dyDescent="0.3">
      <c r="A220" s="10">
        <v>31382</v>
      </c>
      <c r="B220" s="11">
        <v>7</v>
      </c>
      <c r="C220" s="6">
        <v>-6.6138799650822699E-2</v>
      </c>
    </row>
    <row r="221" spans="1:3" x14ac:dyDescent="0.3">
      <c r="A221" s="10">
        <v>31413</v>
      </c>
      <c r="B221" s="11">
        <v>6.7</v>
      </c>
      <c r="C221" s="6">
        <v>0</v>
      </c>
    </row>
    <row r="222" spans="1:3" x14ac:dyDescent="0.3">
      <c r="A222" s="10">
        <v>31444</v>
      </c>
      <c r="B222" s="11">
        <v>7.2</v>
      </c>
      <c r="C222" s="6">
        <v>-9.2588162430596102E-2</v>
      </c>
    </row>
    <row r="223" spans="1:3" x14ac:dyDescent="0.3">
      <c r="A223" s="10">
        <v>31472</v>
      </c>
      <c r="B223" s="11">
        <v>7.2</v>
      </c>
      <c r="C223" s="6">
        <v>0</v>
      </c>
    </row>
    <row r="224" spans="1:3" x14ac:dyDescent="0.3">
      <c r="A224" s="10">
        <v>31503</v>
      </c>
      <c r="B224" s="11">
        <v>7.1</v>
      </c>
      <c r="C224" s="6">
        <v>0.21399182478225301</v>
      </c>
    </row>
    <row r="225" spans="1:3" x14ac:dyDescent="0.3">
      <c r="A225" s="10">
        <v>31533</v>
      </c>
      <c r="B225" s="11">
        <v>7.2</v>
      </c>
      <c r="C225" s="6">
        <v>8.8116163464637895E-2</v>
      </c>
    </row>
    <row r="226" spans="1:3" x14ac:dyDescent="0.3">
      <c r="A226" s="10">
        <v>31564</v>
      </c>
      <c r="B226" s="11">
        <v>7.2</v>
      </c>
      <c r="C226" s="6">
        <v>0</v>
      </c>
    </row>
    <row r="227" spans="1:3" x14ac:dyDescent="0.3">
      <c r="A227" s="10">
        <v>31594</v>
      </c>
      <c r="B227" s="11">
        <v>7</v>
      </c>
      <c r="C227" s="6">
        <v>-0.17495217509734001</v>
      </c>
    </row>
    <row r="228" spans="1:3" x14ac:dyDescent="0.3">
      <c r="A228" s="10">
        <v>31625</v>
      </c>
      <c r="B228" s="11">
        <v>6.9</v>
      </c>
      <c r="C228" s="6">
        <v>-0.22656310754289499</v>
      </c>
    </row>
    <row r="229" spans="1:3" x14ac:dyDescent="0.3">
      <c r="A229" s="10">
        <v>31656</v>
      </c>
      <c r="B229" s="11">
        <v>7</v>
      </c>
      <c r="C229" s="6">
        <v>3.5019986721763201E-2</v>
      </c>
    </row>
    <row r="230" spans="1:3" x14ac:dyDescent="0.3">
      <c r="A230" s="10">
        <v>31686</v>
      </c>
      <c r="B230" s="11">
        <v>7</v>
      </c>
      <c r="C230" s="6">
        <v>0</v>
      </c>
    </row>
    <row r="231" spans="1:3" x14ac:dyDescent="0.3">
      <c r="A231" s="10">
        <v>31717</v>
      </c>
      <c r="B231" s="11">
        <v>6.9</v>
      </c>
      <c r="C231" s="6">
        <v>4.8393308710946402E-2</v>
      </c>
    </row>
    <row r="232" spans="1:3" x14ac:dyDescent="0.3">
      <c r="A232" s="10">
        <v>31747</v>
      </c>
      <c r="B232" s="11">
        <v>6.6</v>
      </c>
      <c r="C232" s="6">
        <v>-4.73744861531709E-2</v>
      </c>
    </row>
    <row r="233" spans="1:3" x14ac:dyDescent="0.3">
      <c r="A233" s="10">
        <v>31778</v>
      </c>
      <c r="B233" s="11">
        <v>6.6</v>
      </c>
      <c r="C233" s="6">
        <v>0</v>
      </c>
    </row>
    <row r="234" spans="1:3" x14ac:dyDescent="0.3">
      <c r="A234" s="10">
        <v>31809</v>
      </c>
      <c r="B234" s="11">
        <v>6.6</v>
      </c>
      <c r="C234" s="6">
        <v>0.209832669117792</v>
      </c>
    </row>
    <row r="235" spans="1:3" x14ac:dyDescent="0.3">
      <c r="A235" s="10">
        <v>31837</v>
      </c>
      <c r="B235" s="11">
        <v>6.6</v>
      </c>
      <c r="C235" s="6">
        <v>0.24518472518662199</v>
      </c>
    </row>
    <row r="236" spans="1:3" x14ac:dyDescent="0.3">
      <c r="A236" s="10">
        <v>31868</v>
      </c>
      <c r="B236" s="11">
        <v>6.3</v>
      </c>
      <c r="C236" s="6">
        <v>0</v>
      </c>
    </row>
    <row r="237" spans="1:3" x14ac:dyDescent="0.3">
      <c r="A237" s="10">
        <v>31898</v>
      </c>
      <c r="B237" s="11">
        <v>6.3</v>
      </c>
      <c r="C237" s="6">
        <v>0.26467612303544902</v>
      </c>
    </row>
    <row r="238" spans="1:3" x14ac:dyDescent="0.3">
      <c r="A238" s="10">
        <v>31929</v>
      </c>
      <c r="B238" s="11">
        <v>6.2</v>
      </c>
      <c r="C238" s="6">
        <v>0</v>
      </c>
    </row>
    <row r="239" spans="1:3" x14ac:dyDescent="0.3">
      <c r="A239" s="10">
        <v>31959</v>
      </c>
      <c r="B239" s="11">
        <v>6.1</v>
      </c>
      <c r="C239" s="6">
        <v>-2.8139482927439601E-2</v>
      </c>
    </row>
    <row r="240" spans="1:3" x14ac:dyDescent="0.3">
      <c r="A240" s="10">
        <v>31990</v>
      </c>
      <c r="B240" s="11">
        <v>6</v>
      </c>
      <c r="C240" s="6">
        <v>-1.15179588062753E-2</v>
      </c>
    </row>
    <row r="241" spans="1:3" x14ac:dyDescent="0.3">
      <c r="A241" s="10">
        <v>32021</v>
      </c>
      <c r="B241" s="11">
        <v>5.9</v>
      </c>
      <c r="C241" s="6">
        <v>-0.12651146263582699</v>
      </c>
    </row>
    <row r="242" spans="1:3" x14ac:dyDescent="0.3">
      <c r="A242" s="10">
        <v>32051</v>
      </c>
      <c r="B242" s="11">
        <v>6</v>
      </c>
      <c r="C242" s="6">
        <v>0</v>
      </c>
    </row>
    <row r="243" spans="1:3" x14ac:dyDescent="0.3">
      <c r="A243" s="10">
        <v>32082</v>
      </c>
      <c r="B243" s="11">
        <v>5.8</v>
      </c>
      <c r="C243" s="6">
        <v>-5.7951597423655E-2</v>
      </c>
    </row>
    <row r="244" spans="1:3" x14ac:dyDescent="0.3">
      <c r="A244" s="10">
        <v>32112</v>
      </c>
      <c r="B244" s="11">
        <v>5.7</v>
      </c>
      <c r="C244" s="6">
        <v>-0.122493170288824</v>
      </c>
    </row>
    <row r="245" spans="1:3" x14ac:dyDescent="0.3">
      <c r="A245" s="10">
        <v>32143</v>
      </c>
      <c r="B245" s="11">
        <v>5.7</v>
      </c>
      <c r="C245" s="6">
        <v>0</v>
      </c>
    </row>
    <row r="246" spans="1:3" x14ac:dyDescent="0.3">
      <c r="A246" s="10">
        <v>32174</v>
      </c>
      <c r="B246" s="11">
        <v>5.7</v>
      </c>
      <c r="C246" s="6">
        <v>-0.17195122971287699</v>
      </c>
    </row>
    <row r="247" spans="1:3" x14ac:dyDescent="0.3">
      <c r="A247" s="10">
        <v>32203</v>
      </c>
      <c r="B247" s="11">
        <v>5.7</v>
      </c>
      <c r="C247" s="6">
        <v>8.9380917257315895E-2</v>
      </c>
    </row>
    <row r="248" spans="1:3" x14ac:dyDescent="0.3">
      <c r="A248" s="10">
        <v>32234</v>
      </c>
      <c r="B248" s="11">
        <v>5.4</v>
      </c>
      <c r="C248" s="6">
        <v>0</v>
      </c>
    </row>
    <row r="249" spans="1:3" x14ac:dyDescent="0.3">
      <c r="A249" s="10">
        <v>32264</v>
      </c>
      <c r="B249" s="11">
        <v>5.6</v>
      </c>
      <c r="C249" s="6">
        <v>0.22411558355278</v>
      </c>
    </row>
    <row r="250" spans="1:3" x14ac:dyDescent="0.3">
      <c r="A250" s="10">
        <v>32295</v>
      </c>
      <c r="B250" s="11">
        <v>5.4</v>
      </c>
      <c r="C250" s="6">
        <v>0.34363070787127897</v>
      </c>
    </row>
    <row r="251" spans="1:3" x14ac:dyDescent="0.3">
      <c r="A251" s="10">
        <v>32325</v>
      </c>
      <c r="B251" s="11">
        <v>5.4</v>
      </c>
      <c r="C251" s="6">
        <v>0</v>
      </c>
    </row>
    <row r="252" spans="1:3" x14ac:dyDescent="0.3">
      <c r="A252" s="10">
        <v>32356</v>
      </c>
      <c r="B252" s="11">
        <v>5.6</v>
      </c>
      <c r="C252" s="6">
        <v>-0.15248160739560901</v>
      </c>
    </row>
    <row r="253" spans="1:3" x14ac:dyDescent="0.3">
      <c r="A253" s="10">
        <v>32387</v>
      </c>
      <c r="B253" s="11">
        <v>5.4</v>
      </c>
      <c r="C253" s="6">
        <v>-3.7425626658924002E-2</v>
      </c>
    </row>
    <row r="254" spans="1:3" x14ac:dyDescent="0.3">
      <c r="A254" s="10">
        <v>32417</v>
      </c>
      <c r="B254" s="11">
        <v>5.4</v>
      </c>
      <c r="C254" s="6">
        <v>0</v>
      </c>
    </row>
    <row r="255" spans="1:3" x14ac:dyDescent="0.3">
      <c r="A255" s="10">
        <v>32448</v>
      </c>
      <c r="B255" s="11">
        <v>5.3</v>
      </c>
      <c r="C255" s="6">
        <v>-2.7558602211773E-2</v>
      </c>
    </row>
    <row r="256" spans="1:3" x14ac:dyDescent="0.3">
      <c r="A256" s="10">
        <v>32478</v>
      </c>
      <c r="B256" s="11">
        <v>5.3</v>
      </c>
      <c r="C256" s="6">
        <v>0.44926484105801501</v>
      </c>
    </row>
    <row r="257" spans="1:3" x14ac:dyDescent="0.3">
      <c r="A257" s="10">
        <v>32509</v>
      </c>
      <c r="B257" s="11">
        <v>5.4</v>
      </c>
      <c r="C257" s="6">
        <v>0</v>
      </c>
    </row>
    <row r="258" spans="1:3" x14ac:dyDescent="0.3">
      <c r="A258" s="10">
        <v>32540</v>
      </c>
      <c r="B258" s="11">
        <v>5.2</v>
      </c>
      <c r="C258" s="6">
        <v>0.26699762623285</v>
      </c>
    </row>
    <row r="259" spans="1:3" x14ac:dyDescent="0.3">
      <c r="A259" s="10">
        <v>32568</v>
      </c>
      <c r="B259" s="11">
        <v>5</v>
      </c>
      <c r="C259" s="6">
        <v>5.67931699349941E-2</v>
      </c>
    </row>
    <row r="260" spans="1:3" x14ac:dyDescent="0.3">
      <c r="A260" s="10">
        <v>32599</v>
      </c>
      <c r="B260" s="11">
        <v>5.2</v>
      </c>
      <c r="C260" s="6">
        <v>0</v>
      </c>
    </row>
    <row r="261" spans="1:3" x14ac:dyDescent="0.3">
      <c r="A261" s="10">
        <v>32629</v>
      </c>
      <c r="B261" s="11">
        <v>5.2</v>
      </c>
      <c r="C261" s="6">
        <v>0.14262336511917301</v>
      </c>
    </row>
    <row r="262" spans="1:3" x14ac:dyDescent="0.3">
      <c r="A262" s="10">
        <v>32660</v>
      </c>
      <c r="B262" s="11">
        <v>5.3</v>
      </c>
      <c r="C262" s="6">
        <v>0</v>
      </c>
    </row>
    <row r="263" spans="1:3" x14ac:dyDescent="0.3">
      <c r="A263" s="10">
        <v>32690</v>
      </c>
      <c r="B263" s="11">
        <v>5.2</v>
      </c>
      <c r="C263" s="6">
        <v>6.9639431228009793E-2</v>
      </c>
    </row>
    <row r="264" spans="1:3" x14ac:dyDescent="0.3">
      <c r="A264" s="10">
        <v>32721</v>
      </c>
      <c r="B264" s="11">
        <v>5.2</v>
      </c>
      <c r="C264" s="6">
        <v>-0.12473181828551</v>
      </c>
    </row>
    <row r="265" spans="1:3" x14ac:dyDescent="0.3">
      <c r="A265" s="10">
        <v>32752</v>
      </c>
      <c r="B265" s="11">
        <v>5.3</v>
      </c>
      <c r="C265" s="6">
        <v>0</v>
      </c>
    </row>
    <row r="266" spans="1:3" x14ac:dyDescent="0.3">
      <c r="A266" s="10">
        <v>32782</v>
      </c>
      <c r="B266" s="11">
        <v>5.3</v>
      </c>
      <c r="C266" s="6">
        <v>-6.3047693169642094E-2</v>
      </c>
    </row>
    <row r="267" spans="1:3" x14ac:dyDescent="0.3">
      <c r="A267" s="10">
        <v>32813</v>
      </c>
      <c r="B267" s="11">
        <v>5.4</v>
      </c>
      <c r="C267" s="6">
        <v>0.134523784078764</v>
      </c>
    </row>
    <row r="268" spans="1:3" x14ac:dyDescent="0.3">
      <c r="A268" s="10">
        <v>32843</v>
      </c>
      <c r="B268" s="11">
        <v>5.4</v>
      </c>
      <c r="C268" s="6">
        <v>-4.75060378998493E-2</v>
      </c>
    </row>
    <row r="269" spans="1:3" x14ac:dyDescent="0.3">
      <c r="A269" s="10">
        <v>32874</v>
      </c>
      <c r="B269" s="11">
        <v>5.4</v>
      </c>
      <c r="C269" s="6">
        <v>0</v>
      </c>
    </row>
    <row r="270" spans="1:3" x14ac:dyDescent="0.3">
      <c r="A270" s="10">
        <v>32905</v>
      </c>
      <c r="B270" s="11">
        <v>5.3</v>
      </c>
      <c r="C270" s="6">
        <v>0.31662976713116697</v>
      </c>
    </row>
    <row r="271" spans="1:3" x14ac:dyDescent="0.3">
      <c r="A271" s="10">
        <v>32933</v>
      </c>
      <c r="B271" s="11">
        <v>5.2</v>
      </c>
      <c r="C271" s="6">
        <v>-7.2530866614270398E-2</v>
      </c>
    </row>
    <row r="272" spans="1:3" x14ac:dyDescent="0.3">
      <c r="A272" s="10">
        <v>32964</v>
      </c>
      <c r="B272" s="11">
        <v>5.4</v>
      </c>
      <c r="C272" s="6">
        <v>0</v>
      </c>
    </row>
    <row r="273" spans="1:3" x14ac:dyDescent="0.3">
      <c r="A273" s="10">
        <v>32994</v>
      </c>
      <c r="B273" s="11">
        <v>5.4</v>
      </c>
      <c r="C273" s="6">
        <v>3.9873990489933703E-2</v>
      </c>
    </row>
    <row r="274" spans="1:3" x14ac:dyDescent="0.3">
      <c r="A274" s="10">
        <v>33025</v>
      </c>
      <c r="B274" s="11">
        <v>5.2</v>
      </c>
      <c r="C274" s="6">
        <v>0</v>
      </c>
    </row>
    <row r="275" spans="1:3" x14ac:dyDescent="0.3">
      <c r="A275" s="10">
        <v>33055</v>
      </c>
      <c r="B275" s="11">
        <v>5.5</v>
      </c>
      <c r="C275" s="6">
        <v>-9.3521658106021796E-2</v>
      </c>
    </row>
    <row r="276" spans="1:3" x14ac:dyDescent="0.3">
      <c r="A276" s="10">
        <v>33086</v>
      </c>
      <c r="B276" s="11">
        <v>5.7</v>
      </c>
      <c r="C276" s="6">
        <v>0.17420833958261001</v>
      </c>
    </row>
    <row r="277" spans="1:3" x14ac:dyDescent="0.3">
      <c r="A277" s="10">
        <v>33117</v>
      </c>
      <c r="B277" s="11">
        <v>5.9</v>
      </c>
      <c r="C277" s="6">
        <v>0</v>
      </c>
    </row>
    <row r="278" spans="1:3" x14ac:dyDescent="0.3">
      <c r="A278" s="10">
        <v>33147</v>
      </c>
      <c r="B278" s="11">
        <v>5.9</v>
      </c>
      <c r="C278" s="6">
        <v>-8.1573314368462393E-2</v>
      </c>
    </row>
    <row r="279" spans="1:3" x14ac:dyDescent="0.3">
      <c r="A279" s="10">
        <v>33178</v>
      </c>
      <c r="B279" s="11">
        <v>6.2</v>
      </c>
      <c r="C279" s="6">
        <v>5.2167839010553899E-2</v>
      </c>
    </row>
    <row r="280" spans="1:3" x14ac:dyDescent="0.3">
      <c r="A280" s="10">
        <v>33208</v>
      </c>
      <c r="B280" s="11">
        <v>6.3</v>
      </c>
      <c r="C280" s="6">
        <v>-6.9750336591071299E-2</v>
      </c>
    </row>
    <row r="281" spans="1:3" x14ac:dyDescent="0.3">
      <c r="A281" s="10">
        <v>33239</v>
      </c>
      <c r="B281" s="11">
        <v>6.4</v>
      </c>
      <c r="C281" s="6">
        <v>0</v>
      </c>
    </row>
    <row r="282" spans="1:3" x14ac:dyDescent="0.3">
      <c r="A282" s="10">
        <v>33270</v>
      </c>
      <c r="B282" s="11">
        <v>6.6</v>
      </c>
      <c r="C282" s="6">
        <v>-0.21850111925221</v>
      </c>
    </row>
    <row r="283" spans="1:3" x14ac:dyDescent="0.3">
      <c r="A283" s="10">
        <v>33298</v>
      </c>
      <c r="B283" s="11">
        <v>6.8</v>
      </c>
      <c r="C283" s="6">
        <v>0.27567627058519401</v>
      </c>
    </row>
    <row r="284" spans="1:3" x14ac:dyDescent="0.3">
      <c r="A284" s="10">
        <v>33329</v>
      </c>
      <c r="B284" s="11">
        <v>6.7</v>
      </c>
      <c r="C284" s="6">
        <v>0</v>
      </c>
    </row>
    <row r="285" spans="1:3" x14ac:dyDescent="0.3">
      <c r="A285" s="10">
        <v>33359</v>
      </c>
      <c r="B285" s="11">
        <v>6.9</v>
      </c>
      <c r="C285" s="6">
        <v>0.24797724482695099</v>
      </c>
    </row>
    <row r="286" spans="1:3" x14ac:dyDescent="0.3">
      <c r="A286" s="10">
        <v>33390</v>
      </c>
      <c r="B286" s="11">
        <v>6.9</v>
      </c>
      <c r="C286" s="6">
        <v>0</v>
      </c>
    </row>
    <row r="287" spans="1:3" x14ac:dyDescent="0.3">
      <c r="A287" s="10">
        <v>33420</v>
      </c>
      <c r="B287" s="11">
        <v>6.8</v>
      </c>
      <c r="C287" s="6">
        <v>-5.8301041285851403E-2</v>
      </c>
    </row>
    <row r="288" spans="1:3" x14ac:dyDescent="0.3">
      <c r="A288" s="10">
        <v>33451</v>
      </c>
      <c r="B288" s="11">
        <v>6.9</v>
      </c>
      <c r="C288" s="6">
        <v>0.13658633677236301</v>
      </c>
    </row>
    <row r="289" spans="1:3" x14ac:dyDescent="0.3">
      <c r="A289" s="10">
        <v>33482</v>
      </c>
      <c r="B289" s="11">
        <v>6.9</v>
      </c>
      <c r="C289" s="6">
        <v>0</v>
      </c>
    </row>
    <row r="290" spans="1:3" x14ac:dyDescent="0.3">
      <c r="A290" s="10">
        <v>33512</v>
      </c>
      <c r="B290" s="11">
        <v>7</v>
      </c>
      <c r="C290" s="6">
        <v>4.1846469878736303E-3</v>
      </c>
    </row>
    <row r="291" spans="1:3" x14ac:dyDescent="0.3">
      <c r="A291" s="10">
        <v>33543</v>
      </c>
      <c r="B291" s="11">
        <v>7</v>
      </c>
      <c r="C291" s="6">
        <v>-9.7593058344213807E-2</v>
      </c>
    </row>
    <row r="292" spans="1:3" x14ac:dyDescent="0.3">
      <c r="A292" s="10">
        <v>33573</v>
      </c>
      <c r="B292" s="11">
        <v>7.3</v>
      </c>
      <c r="C292" s="6">
        <v>0.17983950400896201</v>
      </c>
    </row>
    <row r="293" spans="1:3" x14ac:dyDescent="0.3">
      <c r="A293" s="10">
        <v>33604</v>
      </c>
      <c r="B293" s="11">
        <v>7.3</v>
      </c>
      <c r="C293" s="6">
        <v>0</v>
      </c>
    </row>
    <row r="294" spans="1:3" x14ac:dyDescent="0.3">
      <c r="A294" s="10">
        <v>33635</v>
      </c>
      <c r="B294" s="11">
        <v>7.4</v>
      </c>
      <c r="C294" s="6">
        <v>5.7856742242659603E-2</v>
      </c>
    </row>
    <row r="295" spans="1:3" x14ac:dyDescent="0.3">
      <c r="A295" s="10">
        <v>33664</v>
      </c>
      <c r="B295" s="11">
        <v>7.4</v>
      </c>
      <c r="C295" s="6">
        <v>-5.2980512803137002E-2</v>
      </c>
    </row>
    <row r="296" spans="1:3" x14ac:dyDescent="0.3">
      <c r="A296" s="10">
        <v>33695</v>
      </c>
      <c r="B296" s="11">
        <v>7.4</v>
      </c>
      <c r="C296" s="6">
        <v>0</v>
      </c>
    </row>
    <row r="297" spans="1:3" x14ac:dyDescent="0.3">
      <c r="A297" s="10">
        <v>33725</v>
      </c>
      <c r="B297" s="11">
        <v>7.6</v>
      </c>
      <c r="C297" s="6">
        <v>0.16093827007658401</v>
      </c>
    </row>
    <row r="298" spans="1:3" x14ac:dyDescent="0.3">
      <c r="A298" s="10">
        <v>33756</v>
      </c>
      <c r="B298" s="11">
        <v>7.8</v>
      </c>
      <c r="C298" s="6">
        <v>0</v>
      </c>
    </row>
    <row r="299" spans="1:3" x14ac:dyDescent="0.3">
      <c r="A299" s="10">
        <v>33786</v>
      </c>
      <c r="B299" s="11">
        <v>7.7</v>
      </c>
      <c r="C299" s="6">
        <v>-4.0421043793133403E-2</v>
      </c>
    </row>
    <row r="300" spans="1:3" x14ac:dyDescent="0.3">
      <c r="A300" s="10">
        <v>33817</v>
      </c>
      <c r="B300" s="11">
        <v>7.6</v>
      </c>
      <c r="C300" s="6">
        <v>2.13173525689105E-2</v>
      </c>
    </row>
    <row r="301" spans="1:3" x14ac:dyDescent="0.3">
      <c r="A301" s="10">
        <v>33848</v>
      </c>
      <c r="B301" s="11">
        <v>7.6</v>
      </c>
      <c r="C301" s="6">
        <v>0</v>
      </c>
    </row>
    <row r="302" spans="1:3" x14ac:dyDescent="0.3">
      <c r="A302" s="10">
        <v>33878</v>
      </c>
      <c r="B302" s="11">
        <v>7.3</v>
      </c>
      <c r="C302" s="6">
        <v>-0.104650930177327</v>
      </c>
    </row>
    <row r="303" spans="1:3" x14ac:dyDescent="0.3">
      <c r="A303" s="10">
        <v>33909</v>
      </c>
      <c r="B303" s="11">
        <v>7.4</v>
      </c>
      <c r="C303" s="6">
        <v>3.1138472872225601E-2</v>
      </c>
    </row>
    <row r="304" spans="1:3" x14ac:dyDescent="0.3">
      <c r="A304" s="10">
        <v>33939</v>
      </c>
      <c r="B304" s="11">
        <v>7.4</v>
      </c>
      <c r="C304" s="6">
        <v>-0.18109471888992901</v>
      </c>
    </row>
    <row r="305" spans="1:3" x14ac:dyDescent="0.3">
      <c r="A305" s="10">
        <v>33970</v>
      </c>
      <c r="B305" s="11">
        <v>7.3</v>
      </c>
      <c r="C305" s="6">
        <v>0</v>
      </c>
    </row>
    <row r="306" spans="1:3" x14ac:dyDescent="0.3">
      <c r="A306" s="10">
        <v>34001</v>
      </c>
      <c r="B306" s="11">
        <v>7.1</v>
      </c>
      <c r="C306" s="6">
        <v>0.10888163153097601</v>
      </c>
    </row>
    <row r="307" spans="1:3" x14ac:dyDescent="0.3">
      <c r="A307" s="10">
        <v>34029</v>
      </c>
      <c r="B307" s="11">
        <v>7</v>
      </c>
      <c r="C307" s="6">
        <v>-3.3703491162676701E-2</v>
      </c>
    </row>
    <row r="308" spans="1:3" x14ac:dyDescent="0.3">
      <c r="A308" s="10">
        <v>34060</v>
      </c>
      <c r="B308" s="11">
        <v>7.1</v>
      </c>
      <c r="C308" s="6">
        <v>0</v>
      </c>
    </row>
    <row r="309" spans="1:3" x14ac:dyDescent="0.3">
      <c r="A309" s="10">
        <v>34090</v>
      </c>
      <c r="B309" s="11">
        <v>7.1</v>
      </c>
      <c r="C309" s="6">
        <v>0.34648825465550598</v>
      </c>
    </row>
    <row r="310" spans="1:3" x14ac:dyDescent="0.3">
      <c r="A310" s="10">
        <v>34121</v>
      </c>
      <c r="B310" s="11">
        <v>7</v>
      </c>
      <c r="C310" s="6">
        <v>0</v>
      </c>
    </row>
    <row r="311" spans="1:3" x14ac:dyDescent="0.3">
      <c r="A311" s="10">
        <v>34151</v>
      </c>
      <c r="B311" s="11">
        <v>6.9</v>
      </c>
      <c r="C311" s="6">
        <v>4.9259034283272003E-2</v>
      </c>
    </row>
    <row r="312" spans="1:3" x14ac:dyDescent="0.3">
      <c r="A312" s="10">
        <v>34182</v>
      </c>
      <c r="B312" s="11">
        <v>6.8</v>
      </c>
      <c r="C312" s="6">
        <v>7.7787844009649401E-2</v>
      </c>
    </row>
    <row r="313" spans="1:3" x14ac:dyDescent="0.3">
      <c r="A313" s="10">
        <v>34213</v>
      </c>
      <c r="B313" s="11">
        <v>6.7</v>
      </c>
      <c r="C313" s="6">
        <v>0.19273816356311399</v>
      </c>
    </row>
    <row r="314" spans="1:3" x14ac:dyDescent="0.3">
      <c r="A314" s="10">
        <v>34243</v>
      </c>
      <c r="B314" s="11">
        <v>6.8</v>
      </c>
      <c r="C314" s="6">
        <v>0</v>
      </c>
    </row>
    <row r="315" spans="1:3" x14ac:dyDescent="0.3">
      <c r="A315" s="10">
        <v>34274</v>
      </c>
      <c r="B315" s="11">
        <v>6.6</v>
      </c>
      <c r="C315" s="6">
        <v>-4.71484264728321E-2</v>
      </c>
    </row>
    <row r="316" spans="1:3" x14ac:dyDescent="0.3">
      <c r="A316" s="10">
        <v>34304</v>
      </c>
      <c r="B316" s="11">
        <v>6.5</v>
      </c>
      <c r="C316" s="6">
        <v>-0.12971817987950299</v>
      </c>
    </row>
    <row r="317" spans="1:3" x14ac:dyDescent="0.3">
      <c r="A317" s="10">
        <v>34335</v>
      </c>
      <c r="B317" s="11">
        <v>6.6</v>
      </c>
      <c r="C317" s="6">
        <v>0</v>
      </c>
    </row>
    <row r="318" spans="1:3" x14ac:dyDescent="0.3">
      <c r="A318" s="10">
        <v>34366</v>
      </c>
      <c r="B318" s="11">
        <v>6.6</v>
      </c>
      <c r="C318" s="6">
        <v>0.25681207500838998</v>
      </c>
    </row>
    <row r="319" spans="1:3" x14ac:dyDescent="0.3">
      <c r="A319" s="10">
        <v>34394</v>
      </c>
      <c r="B319" s="11">
        <v>6.5</v>
      </c>
      <c r="C319" s="6">
        <v>0.34234208469118999</v>
      </c>
    </row>
    <row r="320" spans="1:3" x14ac:dyDescent="0.3">
      <c r="A320" s="10">
        <v>34425</v>
      </c>
      <c r="B320" s="11">
        <v>6.4</v>
      </c>
      <c r="C320" s="6">
        <v>0</v>
      </c>
    </row>
    <row r="321" spans="1:3" x14ac:dyDescent="0.3">
      <c r="A321" s="10">
        <v>34455</v>
      </c>
      <c r="B321" s="11">
        <v>6.1</v>
      </c>
      <c r="C321" s="6">
        <v>0.33401870513378301</v>
      </c>
    </row>
    <row r="322" spans="1:3" x14ac:dyDescent="0.3">
      <c r="A322" s="10">
        <v>34486</v>
      </c>
      <c r="B322" s="11">
        <v>6.1</v>
      </c>
      <c r="C322" s="6">
        <v>0</v>
      </c>
    </row>
    <row r="323" spans="1:3" x14ac:dyDescent="0.3">
      <c r="A323" s="10">
        <v>34516</v>
      </c>
      <c r="B323" s="11">
        <v>6.1</v>
      </c>
      <c r="C323" s="6">
        <v>8.3809166259218498E-2</v>
      </c>
    </row>
    <row r="324" spans="1:3" x14ac:dyDescent="0.3">
      <c r="A324" s="10">
        <v>34547</v>
      </c>
      <c r="B324" s="11">
        <v>6</v>
      </c>
      <c r="C324" s="6">
        <v>0.44094087566706602</v>
      </c>
    </row>
    <row r="325" spans="1:3" x14ac:dyDescent="0.3">
      <c r="A325" s="10">
        <v>34578</v>
      </c>
      <c r="B325" s="11">
        <v>5.9</v>
      </c>
      <c r="C325" s="6">
        <v>7.0953777763244505E-2</v>
      </c>
    </row>
    <row r="326" spans="1:3" x14ac:dyDescent="0.3">
      <c r="A326" s="10">
        <v>34608</v>
      </c>
      <c r="B326" s="11">
        <v>5.8</v>
      </c>
      <c r="C326" s="6">
        <v>0</v>
      </c>
    </row>
    <row r="327" spans="1:3" x14ac:dyDescent="0.3">
      <c r="A327" s="10">
        <v>34639</v>
      </c>
      <c r="B327" s="11">
        <v>5.6</v>
      </c>
      <c r="C327" s="6">
        <v>0.61426415017838698</v>
      </c>
    </row>
    <row r="328" spans="1:3" x14ac:dyDescent="0.3">
      <c r="A328" s="10">
        <v>34669</v>
      </c>
      <c r="B328" s="11">
        <v>5.5</v>
      </c>
      <c r="C328" s="6">
        <v>-0.21059166184004299</v>
      </c>
    </row>
    <row r="329" spans="1:3" x14ac:dyDescent="0.3">
      <c r="A329" s="10">
        <v>34700</v>
      </c>
      <c r="B329" s="11">
        <v>5.6</v>
      </c>
      <c r="C329" s="6">
        <v>0</v>
      </c>
    </row>
    <row r="330" spans="1:3" x14ac:dyDescent="0.3">
      <c r="A330" s="10">
        <v>34731</v>
      </c>
      <c r="B330" s="11">
        <v>5.4</v>
      </c>
      <c r="C330" s="6">
        <v>0.52772843766371602</v>
      </c>
    </row>
    <row r="331" spans="1:3" x14ac:dyDescent="0.3">
      <c r="A331" s="10">
        <v>34759</v>
      </c>
      <c r="B331" s="11">
        <v>5.4</v>
      </c>
      <c r="C331" s="6">
        <v>0.25277283154424002</v>
      </c>
    </row>
    <row r="332" spans="1:3" x14ac:dyDescent="0.3">
      <c r="A332" s="10">
        <v>34790</v>
      </c>
      <c r="B332" s="11">
        <v>5.8</v>
      </c>
      <c r="C332" s="6">
        <v>0</v>
      </c>
    </row>
    <row r="333" spans="1:3" x14ac:dyDescent="0.3">
      <c r="A333" s="10">
        <v>34820</v>
      </c>
      <c r="B333" s="11">
        <v>5.6</v>
      </c>
      <c r="C333" s="6">
        <v>0.22645160625257901</v>
      </c>
    </row>
    <row r="334" spans="1:3" x14ac:dyDescent="0.3">
      <c r="A334" s="10">
        <v>34851</v>
      </c>
      <c r="B334" s="11">
        <v>5.6</v>
      </c>
      <c r="C334" s="6">
        <v>0</v>
      </c>
    </row>
    <row r="335" spans="1:3" x14ac:dyDescent="0.3">
      <c r="A335" s="10">
        <v>34881</v>
      </c>
      <c r="B335" s="11">
        <v>5.7</v>
      </c>
      <c r="C335" s="6">
        <v>3.57803649807997E-2</v>
      </c>
    </row>
    <row r="336" spans="1:3" x14ac:dyDescent="0.3">
      <c r="A336" s="10">
        <v>34912</v>
      </c>
      <c r="B336" s="11">
        <v>5.7</v>
      </c>
      <c r="C336" s="6">
        <v>-4.4671498209110302E-2</v>
      </c>
    </row>
    <row r="337" spans="1:3" x14ac:dyDescent="0.3">
      <c r="A337" s="10">
        <v>34943</v>
      </c>
      <c r="B337" s="11">
        <v>5.6</v>
      </c>
      <c r="C337" s="6">
        <v>6.9930740160757399E-2</v>
      </c>
    </row>
    <row r="338" spans="1:3" x14ac:dyDescent="0.3">
      <c r="A338" s="10">
        <v>34973</v>
      </c>
      <c r="B338" s="11">
        <v>5.5</v>
      </c>
      <c r="C338" s="6">
        <v>0</v>
      </c>
    </row>
    <row r="339" spans="1:3" x14ac:dyDescent="0.3">
      <c r="A339" s="10">
        <v>35004</v>
      </c>
      <c r="B339" s="11">
        <v>5.6</v>
      </c>
      <c r="C339" s="6">
        <v>0.104319430351496</v>
      </c>
    </row>
    <row r="340" spans="1:3" x14ac:dyDescent="0.3">
      <c r="A340" s="10">
        <v>35034</v>
      </c>
      <c r="B340" s="11">
        <v>5.6</v>
      </c>
      <c r="C340" s="6">
        <v>-0.121968944421585</v>
      </c>
    </row>
    <row r="341" spans="1:3" x14ac:dyDescent="0.3">
      <c r="A341" s="10">
        <v>35065</v>
      </c>
      <c r="B341" s="11">
        <v>5.6</v>
      </c>
      <c r="C341" s="6">
        <v>8.5948659563475999E-2</v>
      </c>
    </row>
    <row r="342" spans="1:3" x14ac:dyDescent="0.3">
      <c r="A342" s="10">
        <v>35096</v>
      </c>
      <c r="B342" s="11">
        <v>5.5</v>
      </c>
      <c r="C342" s="6">
        <v>0</v>
      </c>
    </row>
    <row r="343" spans="1:3" x14ac:dyDescent="0.3">
      <c r="A343" s="10">
        <v>35125</v>
      </c>
      <c r="B343" s="11">
        <v>5.5</v>
      </c>
      <c r="C343" s="6">
        <v>7.0708492425935202E-2</v>
      </c>
    </row>
    <row r="344" spans="1:3" x14ac:dyDescent="0.3">
      <c r="A344" s="10">
        <v>35156</v>
      </c>
      <c r="B344" s="11">
        <v>5.6</v>
      </c>
      <c r="C344" s="6">
        <v>0</v>
      </c>
    </row>
    <row r="345" spans="1:3" x14ac:dyDescent="0.3">
      <c r="A345" s="10">
        <v>35186</v>
      </c>
      <c r="B345" s="11">
        <v>5.6</v>
      </c>
      <c r="C345" s="6">
        <v>5.3505406402202501E-3</v>
      </c>
    </row>
    <row r="346" spans="1:3" x14ac:dyDescent="0.3">
      <c r="A346" s="10">
        <v>35217</v>
      </c>
      <c r="B346" s="11">
        <v>5.3</v>
      </c>
      <c r="C346" s="6">
        <v>0</v>
      </c>
    </row>
    <row r="347" spans="1:3" x14ac:dyDescent="0.3">
      <c r="A347" s="10">
        <v>35247</v>
      </c>
      <c r="B347" s="11">
        <v>5.5</v>
      </c>
      <c r="C347" s="6">
        <v>2.5150092546810899E-3</v>
      </c>
    </row>
    <row r="348" spans="1:3" x14ac:dyDescent="0.3">
      <c r="A348" s="10">
        <v>35278</v>
      </c>
      <c r="B348" s="11">
        <v>5.0999999999999996</v>
      </c>
      <c r="C348" s="6">
        <v>-1.4329071733339501E-2</v>
      </c>
    </row>
    <row r="349" spans="1:3" x14ac:dyDescent="0.3">
      <c r="A349" s="10">
        <v>35309</v>
      </c>
      <c r="B349" s="11">
        <v>5.2</v>
      </c>
      <c r="C349" s="6">
        <v>1.96882370824728E-2</v>
      </c>
    </row>
    <row r="350" spans="1:3" x14ac:dyDescent="0.3">
      <c r="A350" s="10">
        <v>35339</v>
      </c>
      <c r="B350" s="11">
        <v>5.2</v>
      </c>
      <c r="C350" s="6">
        <v>0</v>
      </c>
    </row>
    <row r="351" spans="1:3" x14ac:dyDescent="0.3">
      <c r="A351" s="10">
        <v>35370</v>
      </c>
      <c r="B351" s="11">
        <v>5.4</v>
      </c>
      <c r="C351" s="6">
        <v>7.8268507187300898E-2</v>
      </c>
    </row>
    <row r="352" spans="1:3" x14ac:dyDescent="0.3">
      <c r="A352" s="10">
        <v>35400</v>
      </c>
      <c r="B352" s="11">
        <v>5.4</v>
      </c>
      <c r="C352" s="6">
        <v>2.6029625248947599E-2</v>
      </c>
    </row>
    <row r="353" spans="1:3" x14ac:dyDescent="0.3">
      <c r="A353" s="10">
        <v>35431</v>
      </c>
      <c r="B353" s="11">
        <v>5.3</v>
      </c>
      <c r="C353" s="6">
        <v>0</v>
      </c>
    </row>
    <row r="354" spans="1:3" x14ac:dyDescent="0.3">
      <c r="A354" s="10">
        <v>35462</v>
      </c>
      <c r="B354" s="11">
        <v>5.2</v>
      </c>
      <c r="C354" s="6">
        <v>1.0300695279494201E-3</v>
      </c>
    </row>
    <row r="355" spans="1:3" x14ac:dyDescent="0.3">
      <c r="A355" s="10">
        <v>35490</v>
      </c>
      <c r="B355" s="11">
        <v>5.2</v>
      </c>
      <c r="C355" s="6">
        <v>0.101824784322634</v>
      </c>
    </row>
    <row r="356" spans="1:3" x14ac:dyDescent="0.3">
      <c r="A356" s="10">
        <v>35521</v>
      </c>
      <c r="B356" s="11">
        <v>5.0999999999999996</v>
      </c>
      <c r="C356" s="6">
        <v>0</v>
      </c>
    </row>
    <row r="357" spans="1:3" x14ac:dyDescent="0.3">
      <c r="A357" s="10">
        <v>35551</v>
      </c>
      <c r="B357" s="11">
        <v>4.9000000000000004</v>
      </c>
      <c r="C357" s="6">
        <v>9.6231844911608702E-2</v>
      </c>
    </row>
    <row r="358" spans="1:3" x14ac:dyDescent="0.3">
      <c r="A358" s="10">
        <v>35582</v>
      </c>
      <c r="B358" s="11">
        <v>5</v>
      </c>
      <c r="C358" s="6">
        <v>0</v>
      </c>
    </row>
    <row r="359" spans="1:3" x14ac:dyDescent="0.3">
      <c r="A359" s="10">
        <v>35612</v>
      </c>
      <c r="B359" s="11">
        <v>4.9000000000000004</v>
      </c>
      <c r="C359" s="6">
        <v>-4.01144327542712E-2</v>
      </c>
    </row>
    <row r="360" spans="1:3" x14ac:dyDescent="0.3">
      <c r="A360" s="10">
        <v>35643</v>
      </c>
      <c r="B360" s="11">
        <v>4.8</v>
      </c>
      <c r="C360" s="6">
        <v>0.12567017154312901</v>
      </c>
    </row>
    <row r="361" spans="1:3" x14ac:dyDescent="0.3">
      <c r="A361" s="10">
        <v>35674</v>
      </c>
      <c r="B361" s="11">
        <v>4.9000000000000004</v>
      </c>
      <c r="C361" s="6">
        <v>-0.15501931622092999</v>
      </c>
    </row>
    <row r="362" spans="1:3" x14ac:dyDescent="0.3">
      <c r="A362" s="10">
        <v>35704</v>
      </c>
      <c r="B362" s="11">
        <v>4.7</v>
      </c>
      <c r="C362" s="6">
        <v>0</v>
      </c>
    </row>
    <row r="363" spans="1:3" x14ac:dyDescent="0.3">
      <c r="A363" s="10">
        <v>35735</v>
      </c>
      <c r="B363" s="11">
        <v>4.5999999999999996</v>
      </c>
      <c r="C363" s="6">
        <v>-6.5901401098653306E-2</v>
      </c>
    </row>
    <row r="364" spans="1:3" x14ac:dyDescent="0.3">
      <c r="A364" s="10">
        <v>35765</v>
      </c>
      <c r="B364" s="11">
        <v>4.7</v>
      </c>
      <c r="C364" s="6">
        <v>2.79931159727051E-3</v>
      </c>
    </row>
    <row r="365" spans="1:3" x14ac:dyDescent="0.3">
      <c r="A365" s="10">
        <v>35796</v>
      </c>
      <c r="B365" s="11">
        <v>4.5999999999999996</v>
      </c>
      <c r="C365" s="6">
        <v>0</v>
      </c>
    </row>
    <row r="366" spans="1:3" x14ac:dyDescent="0.3">
      <c r="A366" s="10">
        <v>35827</v>
      </c>
      <c r="B366" s="11">
        <v>4.5999999999999996</v>
      </c>
      <c r="C366" s="6">
        <v>-3.54472075599568E-3</v>
      </c>
    </row>
    <row r="367" spans="1:3" x14ac:dyDescent="0.3">
      <c r="A367" s="10">
        <v>35855</v>
      </c>
      <c r="B367" s="11">
        <v>4.7</v>
      </c>
      <c r="C367" s="6">
        <v>-2.3910059703720701E-2</v>
      </c>
    </row>
    <row r="368" spans="1:3" x14ac:dyDescent="0.3">
      <c r="A368" s="10">
        <v>35886</v>
      </c>
      <c r="B368" s="11">
        <v>4.3</v>
      </c>
      <c r="C368" s="6">
        <v>0</v>
      </c>
    </row>
    <row r="369" spans="1:3" x14ac:dyDescent="0.3">
      <c r="A369" s="10">
        <v>35916</v>
      </c>
      <c r="B369" s="11">
        <v>4.4000000000000004</v>
      </c>
      <c r="C369" s="6">
        <v>-6.6054077116964205E-2</v>
      </c>
    </row>
    <row r="370" spans="1:3" x14ac:dyDescent="0.3">
      <c r="A370" s="10">
        <v>35947</v>
      </c>
      <c r="B370" s="11">
        <v>4.5</v>
      </c>
      <c r="C370" s="6">
        <v>0</v>
      </c>
    </row>
    <row r="371" spans="1:3" x14ac:dyDescent="0.3">
      <c r="A371" s="10">
        <v>35977</v>
      </c>
      <c r="B371" s="11">
        <v>4.5</v>
      </c>
      <c r="C371" s="6">
        <v>4.7297846846991697E-2</v>
      </c>
    </row>
    <row r="372" spans="1:3" x14ac:dyDescent="0.3">
      <c r="A372" s="10">
        <v>36008</v>
      </c>
      <c r="B372" s="11">
        <v>4.5</v>
      </c>
      <c r="C372" s="6">
        <v>9.8207431514182694E-2</v>
      </c>
    </row>
    <row r="373" spans="1:3" x14ac:dyDescent="0.3">
      <c r="A373" s="10">
        <v>36039</v>
      </c>
      <c r="B373" s="11">
        <v>4.5999999999999996</v>
      </c>
      <c r="C373" s="6">
        <v>-0.22744089582642199</v>
      </c>
    </row>
    <row r="374" spans="1:3" x14ac:dyDescent="0.3">
      <c r="A374" s="10">
        <v>36069</v>
      </c>
      <c r="B374" s="11">
        <v>4.5</v>
      </c>
      <c r="C374" s="6">
        <v>0</v>
      </c>
    </row>
    <row r="375" spans="1:3" x14ac:dyDescent="0.3">
      <c r="A375" s="10">
        <v>36100</v>
      </c>
      <c r="B375" s="11">
        <v>4.4000000000000004</v>
      </c>
      <c r="C375" s="6">
        <v>-0.13606470526634201</v>
      </c>
    </row>
    <row r="376" spans="1:3" x14ac:dyDescent="0.3">
      <c r="A376" s="10">
        <v>36130</v>
      </c>
      <c r="B376" s="11">
        <v>4.4000000000000004</v>
      </c>
      <c r="C376" s="6">
        <v>-0.16804835265356</v>
      </c>
    </row>
    <row r="377" spans="1:3" x14ac:dyDescent="0.3">
      <c r="A377" s="10">
        <v>36161</v>
      </c>
      <c r="B377" s="11">
        <v>4.3</v>
      </c>
      <c r="C377" s="6">
        <v>0</v>
      </c>
    </row>
    <row r="378" spans="1:3" x14ac:dyDescent="0.3">
      <c r="A378" s="10">
        <v>36192</v>
      </c>
      <c r="B378" s="11">
        <v>4.4000000000000004</v>
      </c>
      <c r="C378" s="6">
        <v>-0.10935409806329401</v>
      </c>
    </row>
    <row r="379" spans="1:3" x14ac:dyDescent="0.3">
      <c r="A379" s="10">
        <v>36220</v>
      </c>
      <c r="B379" s="11">
        <v>4.2</v>
      </c>
      <c r="C379" s="6">
        <v>-0.14887860711527101</v>
      </c>
    </row>
    <row r="380" spans="1:3" x14ac:dyDescent="0.3">
      <c r="A380" s="10">
        <v>36251</v>
      </c>
      <c r="B380" s="11">
        <v>4.3</v>
      </c>
      <c r="C380" s="6">
        <v>0</v>
      </c>
    </row>
    <row r="381" spans="1:3" x14ac:dyDescent="0.3">
      <c r="A381" s="10">
        <v>36281</v>
      </c>
      <c r="B381" s="11">
        <v>4.2</v>
      </c>
      <c r="C381" s="6">
        <v>-0.104970883211114</v>
      </c>
    </row>
    <row r="382" spans="1:3" x14ac:dyDescent="0.3">
      <c r="A382" s="10">
        <v>36312</v>
      </c>
      <c r="B382" s="11">
        <v>4.3</v>
      </c>
      <c r="C382" s="6">
        <v>0.264013219121567</v>
      </c>
    </row>
    <row r="383" spans="1:3" x14ac:dyDescent="0.3">
      <c r="A383" s="10">
        <v>36342</v>
      </c>
      <c r="B383" s="11">
        <v>4.3</v>
      </c>
      <c r="C383" s="6">
        <v>0</v>
      </c>
    </row>
    <row r="384" spans="1:3" x14ac:dyDescent="0.3">
      <c r="A384" s="10">
        <v>36373</v>
      </c>
      <c r="B384" s="11">
        <v>4.2</v>
      </c>
      <c r="C384" s="6">
        <v>0.241924831816518</v>
      </c>
    </row>
    <row r="385" spans="1:3" x14ac:dyDescent="0.3">
      <c r="A385" s="10">
        <v>36404</v>
      </c>
      <c r="B385" s="11">
        <v>4.2</v>
      </c>
      <c r="C385" s="6">
        <v>0</v>
      </c>
    </row>
    <row r="386" spans="1:3" x14ac:dyDescent="0.3">
      <c r="A386" s="10">
        <v>36434</v>
      </c>
      <c r="B386" s="11">
        <v>4.0999999999999996</v>
      </c>
      <c r="C386" s="6">
        <v>4.8566607372736E-2</v>
      </c>
    </row>
    <row r="387" spans="1:3" x14ac:dyDescent="0.3">
      <c r="A387" s="10">
        <v>36465</v>
      </c>
      <c r="B387" s="11">
        <v>4.0999999999999996</v>
      </c>
      <c r="C387" s="6">
        <v>3.2354241851891802E-3</v>
      </c>
    </row>
    <row r="388" spans="1:3" x14ac:dyDescent="0.3">
      <c r="A388" s="10">
        <v>36495</v>
      </c>
      <c r="B388" s="11">
        <v>4</v>
      </c>
      <c r="C388" s="6">
        <v>-0.17905994549478199</v>
      </c>
    </row>
    <row r="389" spans="1:3" x14ac:dyDescent="0.3">
      <c r="A389" s="10">
        <v>36526</v>
      </c>
      <c r="B389" s="11">
        <v>4</v>
      </c>
      <c r="C389" s="6">
        <v>0</v>
      </c>
    </row>
    <row r="390" spans="1:3" x14ac:dyDescent="0.3">
      <c r="A390" s="10">
        <v>36557</v>
      </c>
      <c r="B390" s="11">
        <v>4.0999999999999996</v>
      </c>
      <c r="C390" s="6">
        <v>5.2076354918467002E-2</v>
      </c>
    </row>
    <row r="391" spans="1:3" x14ac:dyDescent="0.3">
      <c r="A391" s="10">
        <v>36586</v>
      </c>
      <c r="B391" s="11">
        <v>4</v>
      </c>
      <c r="C391" s="6">
        <v>-3.5783057160623397E-2</v>
      </c>
    </row>
    <row r="392" spans="1:3" x14ac:dyDescent="0.3">
      <c r="A392" s="10">
        <v>36617</v>
      </c>
      <c r="B392" s="11">
        <v>3.8</v>
      </c>
      <c r="C392" s="6">
        <v>0</v>
      </c>
    </row>
    <row r="393" spans="1:3" x14ac:dyDescent="0.3">
      <c r="A393" s="10">
        <v>36647</v>
      </c>
      <c r="B393" s="11">
        <v>4</v>
      </c>
      <c r="C393" s="6">
        <v>0.33235550997470698</v>
      </c>
    </row>
    <row r="394" spans="1:3" x14ac:dyDescent="0.3">
      <c r="A394" s="10">
        <v>36678</v>
      </c>
      <c r="B394" s="11">
        <v>4</v>
      </c>
      <c r="C394" s="6">
        <v>5.4592464161177703E-2</v>
      </c>
    </row>
    <row r="395" spans="1:3" x14ac:dyDescent="0.3">
      <c r="A395" s="10">
        <v>36708</v>
      </c>
      <c r="B395" s="11">
        <v>4</v>
      </c>
      <c r="C395" s="6">
        <v>0</v>
      </c>
    </row>
    <row r="396" spans="1:3" x14ac:dyDescent="0.3">
      <c r="A396" s="10">
        <v>36739</v>
      </c>
      <c r="B396" s="11">
        <v>4.0999999999999996</v>
      </c>
      <c r="C396" s="6">
        <v>-3.8103524985183698E-2</v>
      </c>
    </row>
    <row r="397" spans="1:3" x14ac:dyDescent="0.3">
      <c r="A397" s="10">
        <v>36770</v>
      </c>
      <c r="B397" s="11">
        <v>3.9</v>
      </c>
      <c r="C397" s="6">
        <v>0</v>
      </c>
    </row>
    <row r="398" spans="1:3" x14ac:dyDescent="0.3">
      <c r="A398" s="10">
        <v>36800</v>
      </c>
      <c r="B398" s="11">
        <v>3.9</v>
      </c>
      <c r="C398" s="6">
        <v>-5.3461990679639498E-2</v>
      </c>
    </row>
    <row r="399" spans="1:3" x14ac:dyDescent="0.3">
      <c r="A399" s="10">
        <v>36831</v>
      </c>
      <c r="B399" s="11">
        <v>3.9</v>
      </c>
      <c r="C399" s="6">
        <v>-5.8909187870209703E-3</v>
      </c>
    </row>
    <row r="400" spans="1:3" x14ac:dyDescent="0.3">
      <c r="A400" s="10">
        <v>36861</v>
      </c>
      <c r="B400" s="11">
        <v>3.9</v>
      </c>
      <c r="C400" s="6">
        <v>0.23255705617075101</v>
      </c>
    </row>
    <row r="401" spans="1:3" x14ac:dyDescent="0.3">
      <c r="A401" s="10">
        <v>36892</v>
      </c>
      <c r="B401" s="11">
        <v>4.2</v>
      </c>
      <c r="C401" s="6">
        <v>7.5257208420297206E-2</v>
      </c>
    </row>
    <row r="402" spans="1:3" x14ac:dyDescent="0.3">
      <c r="A402" s="10">
        <v>36923</v>
      </c>
      <c r="B402" s="11">
        <v>4.2</v>
      </c>
      <c r="C402" s="6">
        <v>0</v>
      </c>
    </row>
    <row r="403" spans="1:3" x14ac:dyDescent="0.3">
      <c r="A403" s="10">
        <v>36951</v>
      </c>
      <c r="B403" s="11">
        <v>4.3</v>
      </c>
      <c r="C403" s="6">
        <v>-0.45953638307252398</v>
      </c>
    </row>
    <row r="404" spans="1:3" x14ac:dyDescent="0.3">
      <c r="A404" s="10">
        <v>36982</v>
      </c>
      <c r="B404" s="11">
        <v>4.4000000000000004</v>
      </c>
      <c r="C404" s="6">
        <v>0</v>
      </c>
    </row>
    <row r="405" spans="1:3" x14ac:dyDescent="0.3">
      <c r="A405" s="10">
        <v>37012</v>
      </c>
      <c r="B405" s="11">
        <v>4.3</v>
      </c>
      <c r="C405" s="6">
        <v>-0.39539291761609202</v>
      </c>
    </row>
    <row r="406" spans="1:3" x14ac:dyDescent="0.3">
      <c r="A406" s="10">
        <v>37043</v>
      </c>
      <c r="B406" s="11">
        <v>4.5</v>
      </c>
      <c r="C406" s="6">
        <v>-0.117713026232572</v>
      </c>
    </row>
    <row r="407" spans="1:3" x14ac:dyDescent="0.3">
      <c r="A407" s="10">
        <v>37073</v>
      </c>
      <c r="B407" s="11">
        <v>4.5999999999999996</v>
      </c>
      <c r="C407" s="6">
        <v>0</v>
      </c>
    </row>
    <row r="408" spans="1:3" x14ac:dyDescent="0.3">
      <c r="A408" s="10">
        <v>37104</v>
      </c>
      <c r="B408" s="11">
        <v>4.9000000000000004</v>
      </c>
      <c r="C408" s="6">
        <v>-0.105754881842162</v>
      </c>
    </row>
    <row r="409" spans="1:3" x14ac:dyDescent="0.3">
      <c r="A409" s="10">
        <v>37135</v>
      </c>
      <c r="B409" s="11">
        <v>5</v>
      </c>
      <c r="C409" s="6">
        <v>0</v>
      </c>
    </row>
    <row r="410" spans="1:3" x14ac:dyDescent="0.3">
      <c r="A410" s="10">
        <v>37165</v>
      </c>
      <c r="B410" s="11">
        <v>5.3</v>
      </c>
      <c r="C410" s="6">
        <v>-0.14656385552666301</v>
      </c>
    </row>
    <row r="411" spans="1:3" x14ac:dyDescent="0.3">
      <c r="A411" s="10">
        <v>37196</v>
      </c>
      <c r="B411" s="11">
        <v>5.5</v>
      </c>
      <c r="C411" s="6">
        <v>-0.160967856263484</v>
      </c>
    </row>
    <row r="412" spans="1:3" x14ac:dyDescent="0.3">
      <c r="A412" s="10">
        <v>37226</v>
      </c>
      <c r="B412" s="11">
        <v>5.7</v>
      </c>
      <c r="C412" s="6">
        <v>-0.21192841139928401</v>
      </c>
    </row>
    <row r="413" spans="1:3" x14ac:dyDescent="0.3">
      <c r="A413" s="10">
        <v>37257</v>
      </c>
      <c r="B413" s="11">
        <v>5.7</v>
      </c>
      <c r="C413" s="6">
        <v>-0.14963158458984399</v>
      </c>
    </row>
    <row r="414" spans="1:3" x14ac:dyDescent="0.3">
      <c r="A414" s="10">
        <v>37288</v>
      </c>
      <c r="B414" s="11">
        <v>5.7</v>
      </c>
      <c r="C414" s="6">
        <v>0</v>
      </c>
    </row>
    <row r="415" spans="1:3" x14ac:dyDescent="0.3">
      <c r="A415" s="10">
        <v>37316</v>
      </c>
      <c r="B415" s="11">
        <v>5.7</v>
      </c>
      <c r="C415" s="6">
        <v>-0.37131012174514999</v>
      </c>
    </row>
    <row r="416" spans="1:3" x14ac:dyDescent="0.3">
      <c r="A416" s="10">
        <v>37347</v>
      </c>
      <c r="B416" s="11">
        <v>5.9</v>
      </c>
      <c r="C416" s="6">
        <v>0</v>
      </c>
    </row>
    <row r="417" spans="1:3" x14ac:dyDescent="0.3">
      <c r="A417" s="10">
        <v>37377</v>
      </c>
      <c r="B417" s="11">
        <v>5.8</v>
      </c>
      <c r="C417" s="6">
        <v>0.19231464395269601</v>
      </c>
    </row>
    <row r="418" spans="1:3" x14ac:dyDescent="0.3">
      <c r="A418" s="10">
        <v>37408</v>
      </c>
      <c r="B418" s="11">
        <v>5.8</v>
      </c>
      <c r="C418" s="6">
        <v>5.5005490691278601E-2</v>
      </c>
    </row>
    <row r="419" spans="1:3" x14ac:dyDescent="0.3">
      <c r="A419" s="10">
        <v>37438</v>
      </c>
      <c r="B419" s="11">
        <v>5.8</v>
      </c>
      <c r="C419" s="6">
        <v>0</v>
      </c>
    </row>
    <row r="420" spans="1:3" x14ac:dyDescent="0.3">
      <c r="A420" s="10">
        <v>37469</v>
      </c>
      <c r="B420" s="11">
        <v>5.7</v>
      </c>
      <c r="C420" s="6">
        <v>0.167656338637858</v>
      </c>
    </row>
    <row r="421" spans="1:3" x14ac:dyDescent="0.3">
      <c r="A421" s="10">
        <v>37500</v>
      </c>
      <c r="B421" s="11">
        <v>5.7</v>
      </c>
      <c r="C421" s="6">
        <v>-2.6493875704896998E-2</v>
      </c>
    </row>
    <row r="422" spans="1:3" x14ac:dyDescent="0.3">
      <c r="A422" s="10">
        <v>37530</v>
      </c>
      <c r="B422" s="11">
        <v>5.7</v>
      </c>
      <c r="C422" s="6">
        <v>-0.251912957644853</v>
      </c>
    </row>
    <row r="423" spans="1:3" x14ac:dyDescent="0.3">
      <c r="A423" s="10">
        <v>37561</v>
      </c>
      <c r="B423" s="11">
        <v>5.9</v>
      </c>
      <c r="C423" s="6">
        <v>0</v>
      </c>
    </row>
    <row r="424" spans="1:3" x14ac:dyDescent="0.3">
      <c r="A424" s="10">
        <v>37591</v>
      </c>
      <c r="B424" s="11">
        <v>6</v>
      </c>
      <c r="C424" s="6">
        <v>1.5527443141778599E-2</v>
      </c>
    </row>
    <row r="425" spans="1:3" x14ac:dyDescent="0.3">
      <c r="A425" s="10">
        <v>37622</v>
      </c>
      <c r="B425" s="11">
        <v>5.8</v>
      </c>
      <c r="C425" s="6">
        <v>8.5891849214094207E-3</v>
      </c>
    </row>
    <row r="426" spans="1:3" x14ac:dyDescent="0.3">
      <c r="A426" s="10">
        <v>37653</v>
      </c>
      <c r="B426" s="11">
        <v>5.9</v>
      </c>
      <c r="C426" s="6">
        <v>0</v>
      </c>
    </row>
    <row r="427" spans="1:3" x14ac:dyDescent="0.3">
      <c r="A427" s="10">
        <v>37681</v>
      </c>
      <c r="B427" s="11">
        <v>5.9</v>
      </c>
      <c r="C427" s="6">
        <v>5.0218676719284198E-2</v>
      </c>
    </row>
    <row r="428" spans="1:3" x14ac:dyDescent="0.3">
      <c r="A428" s="10">
        <v>37712</v>
      </c>
      <c r="B428" s="11">
        <v>6</v>
      </c>
      <c r="C428" s="6">
        <v>0</v>
      </c>
    </row>
    <row r="429" spans="1:3" x14ac:dyDescent="0.3">
      <c r="A429" s="10">
        <v>37742</v>
      </c>
      <c r="B429" s="11">
        <v>6.1</v>
      </c>
      <c r="C429" s="6">
        <v>1.0041572539372301E-2</v>
      </c>
    </row>
    <row r="430" spans="1:3" x14ac:dyDescent="0.3">
      <c r="A430" s="10">
        <v>37773</v>
      </c>
      <c r="B430" s="11">
        <v>6.3</v>
      </c>
      <c r="C430" s="6">
        <v>-0.198262888927072</v>
      </c>
    </row>
    <row r="431" spans="1:3" x14ac:dyDescent="0.3">
      <c r="A431" s="10">
        <v>37803</v>
      </c>
      <c r="B431" s="11">
        <v>6.2</v>
      </c>
      <c r="C431" s="6">
        <v>0</v>
      </c>
    </row>
    <row r="432" spans="1:3" x14ac:dyDescent="0.3">
      <c r="A432" s="10">
        <v>37834</v>
      </c>
      <c r="B432" s="11">
        <v>6.1</v>
      </c>
      <c r="C432" s="6">
        <v>-6.0005842558297703E-2</v>
      </c>
    </row>
    <row r="433" spans="1:3" x14ac:dyDescent="0.3">
      <c r="A433" s="10">
        <v>37865</v>
      </c>
      <c r="B433" s="11">
        <v>6.1</v>
      </c>
      <c r="C433" s="6">
        <v>-0.19406701780909499</v>
      </c>
    </row>
    <row r="434" spans="1:3" x14ac:dyDescent="0.3">
      <c r="A434" s="10">
        <v>37895</v>
      </c>
      <c r="B434" s="11">
        <v>6</v>
      </c>
      <c r="C434" s="6">
        <v>-0.180404737753455</v>
      </c>
    </row>
    <row r="435" spans="1:3" x14ac:dyDescent="0.3">
      <c r="A435" s="10">
        <v>37926</v>
      </c>
      <c r="B435" s="11">
        <v>5.8</v>
      </c>
      <c r="C435" s="6">
        <v>0</v>
      </c>
    </row>
    <row r="436" spans="1:3" x14ac:dyDescent="0.3">
      <c r="A436" s="10">
        <v>37956</v>
      </c>
      <c r="B436" s="11">
        <v>5.7</v>
      </c>
      <c r="C436" s="6">
        <v>-2.1630553171370699E-2</v>
      </c>
    </row>
    <row r="437" spans="1:3" x14ac:dyDescent="0.3">
      <c r="A437" s="10">
        <v>37987</v>
      </c>
      <c r="B437" s="11">
        <v>5.7</v>
      </c>
      <c r="C437" s="6">
        <v>-0.31719593680534702</v>
      </c>
    </row>
    <row r="438" spans="1:3" x14ac:dyDescent="0.3">
      <c r="A438" s="10">
        <v>38018</v>
      </c>
      <c r="B438" s="11">
        <v>5.6</v>
      </c>
      <c r="C438" s="6">
        <v>0</v>
      </c>
    </row>
    <row r="439" spans="1:3" x14ac:dyDescent="0.3">
      <c r="A439" s="10">
        <v>38047</v>
      </c>
      <c r="B439" s="11">
        <v>5.8</v>
      </c>
      <c r="C439" s="6">
        <v>6.9882555581476796E-2</v>
      </c>
    </row>
    <row r="440" spans="1:3" x14ac:dyDescent="0.3">
      <c r="A440" s="10">
        <v>38078</v>
      </c>
      <c r="B440" s="11">
        <v>5.6</v>
      </c>
      <c r="C440" s="6">
        <v>0</v>
      </c>
    </row>
    <row r="441" spans="1:3" x14ac:dyDescent="0.3">
      <c r="A441" s="10">
        <v>38108</v>
      </c>
      <c r="B441" s="11">
        <v>5.6</v>
      </c>
      <c r="C441" s="6">
        <v>-0.11115572037954601</v>
      </c>
    </row>
    <row r="442" spans="1:3" x14ac:dyDescent="0.3">
      <c r="A442" s="10">
        <v>38139</v>
      </c>
      <c r="B442" s="11">
        <v>5.6</v>
      </c>
      <c r="C442" s="6">
        <v>0.15210393344378401</v>
      </c>
    </row>
    <row r="443" spans="1:3" x14ac:dyDescent="0.3">
      <c r="A443" s="10">
        <v>38169</v>
      </c>
      <c r="B443" s="11">
        <v>5.5</v>
      </c>
      <c r="C443" s="6">
        <v>0</v>
      </c>
    </row>
    <row r="444" spans="1:3" x14ac:dyDescent="0.3">
      <c r="A444" s="10">
        <v>38200</v>
      </c>
      <c r="B444" s="11">
        <v>5.4</v>
      </c>
      <c r="C444" s="6">
        <v>0.30417654963177498</v>
      </c>
    </row>
    <row r="445" spans="1:3" x14ac:dyDescent="0.3">
      <c r="A445" s="10">
        <v>38231</v>
      </c>
      <c r="B445" s="11">
        <v>5.4</v>
      </c>
      <c r="C445" s="6">
        <v>0.15705458550637</v>
      </c>
    </row>
    <row r="446" spans="1:3" x14ac:dyDescent="0.3">
      <c r="A446" s="10">
        <v>38261</v>
      </c>
      <c r="B446" s="11">
        <v>5.5</v>
      </c>
      <c r="C446" s="6">
        <v>0</v>
      </c>
    </row>
    <row r="447" spans="1:3" x14ac:dyDescent="0.3">
      <c r="A447" s="10">
        <v>38292</v>
      </c>
      <c r="B447" s="11">
        <v>5.4</v>
      </c>
      <c r="C447" s="6">
        <v>0.33018541420493103</v>
      </c>
    </row>
    <row r="448" spans="1:3" x14ac:dyDescent="0.3">
      <c r="A448" s="10">
        <v>38322</v>
      </c>
      <c r="B448" s="11">
        <v>5.4</v>
      </c>
      <c r="C448" s="6">
        <v>0.14030102379339701</v>
      </c>
    </row>
    <row r="449" spans="1:3" x14ac:dyDescent="0.3">
      <c r="A449" s="10">
        <v>38353</v>
      </c>
      <c r="B449" s="11">
        <v>5.3</v>
      </c>
      <c r="C449" s="6">
        <v>0</v>
      </c>
    </row>
    <row r="450" spans="1:3" x14ac:dyDescent="0.3">
      <c r="A450" s="10">
        <v>38384</v>
      </c>
      <c r="B450" s="11">
        <v>5.4</v>
      </c>
      <c r="C450" s="6">
        <v>0.115438561928904</v>
      </c>
    </row>
    <row r="451" spans="1:3" x14ac:dyDescent="0.3">
      <c r="A451" s="10">
        <v>38412</v>
      </c>
      <c r="B451" s="11">
        <v>5.2</v>
      </c>
      <c r="C451" s="6">
        <v>6.1345531957713299E-2</v>
      </c>
    </row>
    <row r="452" spans="1:3" x14ac:dyDescent="0.3">
      <c r="A452" s="10">
        <v>38443</v>
      </c>
      <c r="B452" s="11">
        <v>5.2</v>
      </c>
      <c r="C452" s="6">
        <v>0</v>
      </c>
    </row>
    <row r="453" spans="1:3" x14ac:dyDescent="0.3">
      <c r="A453" s="10">
        <v>38473</v>
      </c>
      <c r="B453" s="11">
        <v>5.0999999999999996</v>
      </c>
      <c r="C453" s="6">
        <v>0.30947416662800298</v>
      </c>
    </row>
    <row r="454" spans="1:3" x14ac:dyDescent="0.3">
      <c r="A454" s="10">
        <v>38504</v>
      </c>
      <c r="B454" s="11">
        <v>5</v>
      </c>
      <c r="C454" s="6">
        <v>0.23907231756171701</v>
      </c>
    </row>
    <row r="455" spans="1:3" x14ac:dyDescent="0.3">
      <c r="A455" s="10">
        <v>38534</v>
      </c>
      <c r="B455" s="11">
        <v>5</v>
      </c>
      <c r="C455" s="6">
        <v>0</v>
      </c>
    </row>
    <row r="456" spans="1:3" x14ac:dyDescent="0.3">
      <c r="A456" s="10">
        <v>38565</v>
      </c>
      <c r="B456" s="11">
        <v>4.9000000000000004</v>
      </c>
      <c r="C456" s="6">
        <v>7.2904051480488105E-2</v>
      </c>
    </row>
    <row r="457" spans="1:3" x14ac:dyDescent="0.3">
      <c r="A457" s="10">
        <v>38596</v>
      </c>
      <c r="B457" s="11">
        <v>5</v>
      </c>
      <c r="C457" s="6">
        <v>0.24580705610459</v>
      </c>
    </row>
    <row r="458" spans="1:3" x14ac:dyDescent="0.3">
      <c r="A458" s="10">
        <v>38626</v>
      </c>
      <c r="B458" s="11">
        <v>5</v>
      </c>
      <c r="C458" s="6">
        <v>0</v>
      </c>
    </row>
    <row r="459" spans="1:3" x14ac:dyDescent="0.3">
      <c r="A459" s="10">
        <v>38657</v>
      </c>
      <c r="B459" s="11">
        <v>5</v>
      </c>
      <c r="C459" s="6">
        <v>0.22570486994651101</v>
      </c>
    </row>
    <row r="460" spans="1:3" x14ac:dyDescent="0.3">
      <c r="A460" s="10">
        <v>38687</v>
      </c>
      <c r="B460" s="11">
        <v>4.9000000000000004</v>
      </c>
      <c r="C460" s="6">
        <v>6.6912490948671396E-2</v>
      </c>
    </row>
    <row r="461" spans="1:3" x14ac:dyDescent="0.3">
      <c r="A461" s="10">
        <v>38718</v>
      </c>
      <c r="B461" s="11">
        <v>4.7</v>
      </c>
      <c r="C461" s="6">
        <v>0.13900562645963199</v>
      </c>
    </row>
    <row r="462" spans="1:3" x14ac:dyDescent="0.3">
      <c r="A462" s="10">
        <v>38749</v>
      </c>
      <c r="B462" s="11">
        <v>4.8</v>
      </c>
      <c r="C462" s="6">
        <v>0</v>
      </c>
    </row>
    <row r="463" spans="1:3" x14ac:dyDescent="0.3">
      <c r="A463" s="10">
        <v>38777</v>
      </c>
      <c r="B463" s="11">
        <v>4.7</v>
      </c>
      <c r="C463" s="6">
        <v>0.11002738174841099</v>
      </c>
    </row>
    <row r="464" spans="1:3" x14ac:dyDescent="0.3">
      <c r="A464" s="10">
        <v>38808</v>
      </c>
      <c r="B464" s="11">
        <v>4.7</v>
      </c>
      <c r="C464" s="6">
        <v>0</v>
      </c>
    </row>
    <row r="465" spans="1:3" x14ac:dyDescent="0.3">
      <c r="A465" s="10">
        <v>38838</v>
      </c>
      <c r="B465" s="11">
        <v>4.5999999999999996</v>
      </c>
      <c r="C465" s="6">
        <v>0.18648122315945401</v>
      </c>
    </row>
    <row r="466" spans="1:3" x14ac:dyDescent="0.3">
      <c r="A466" s="10">
        <v>38869</v>
      </c>
      <c r="B466" s="11">
        <v>4.5999999999999996</v>
      </c>
      <c r="C466" s="6">
        <v>0.44110500123437801</v>
      </c>
    </row>
    <row r="467" spans="1:3" x14ac:dyDescent="0.3">
      <c r="A467" s="10">
        <v>38899</v>
      </c>
      <c r="B467" s="11">
        <v>4.7</v>
      </c>
      <c r="C467" s="6">
        <v>0</v>
      </c>
    </row>
    <row r="468" spans="1:3" x14ac:dyDescent="0.3">
      <c r="A468" s="10">
        <v>38930</v>
      </c>
      <c r="B468" s="11">
        <v>4.7</v>
      </c>
      <c r="C468" s="6">
        <v>6.8774647207783202E-2</v>
      </c>
    </row>
    <row r="469" spans="1:3" x14ac:dyDescent="0.3">
      <c r="A469" s="10">
        <v>38961</v>
      </c>
      <c r="B469" s="11">
        <v>4.5</v>
      </c>
      <c r="C469" s="6">
        <v>6.23208440937894E-2</v>
      </c>
    </row>
    <row r="470" spans="1:3" x14ac:dyDescent="0.3">
      <c r="A470" s="10">
        <v>38991</v>
      </c>
      <c r="B470" s="11">
        <v>4.4000000000000004</v>
      </c>
      <c r="C470" s="6">
        <v>-9.6554555969199998E-2</v>
      </c>
    </row>
    <row r="471" spans="1:3" x14ac:dyDescent="0.3">
      <c r="A471" s="10">
        <v>39022</v>
      </c>
      <c r="B471" s="11">
        <v>4.5</v>
      </c>
      <c r="C471" s="6">
        <v>0</v>
      </c>
    </row>
    <row r="472" spans="1:3" x14ac:dyDescent="0.3">
      <c r="A472" s="10">
        <v>39052</v>
      </c>
      <c r="B472" s="11">
        <v>4.4000000000000004</v>
      </c>
      <c r="C472" s="6">
        <v>7.3440272354890895E-2</v>
      </c>
    </row>
    <row r="473" spans="1:3" x14ac:dyDescent="0.3">
      <c r="A473" s="10">
        <v>39083</v>
      </c>
      <c r="B473" s="11">
        <v>4.5999999999999996</v>
      </c>
      <c r="C473" s="6">
        <v>-3.7440958392854398E-2</v>
      </c>
    </row>
    <row r="474" spans="1:3" x14ac:dyDescent="0.3">
      <c r="A474" s="10">
        <v>39114</v>
      </c>
      <c r="B474" s="11">
        <v>4.5</v>
      </c>
      <c r="C474" s="6">
        <v>0</v>
      </c>
    </row>
    <row r="475" spans="1:3" x14ac:dyDescent="0.3">
      <c r="A475" s="10">
        <v>39142</v>
      </c>
      <c r="B475" s="11">
        <v>4.4000000000000004</v>
      </c>
      <c r="C475" s="6">
        <v>0.16869718405799</v>
      </c>
    </row>
    <row r="476" spans="1:3" x14ac:dyDescent="0.3">
      <c r="A476" s="10">
        <v>39173</v>
      </c>
      <c r="B476" s="11">
        <v>4.5</v>
      </c>
      <c r="C476" s="6">
        <v>0</v>
      </c>
    </row>
    <row r="477" spans="1:3" x14ac:dyDescent="0.3">
      <c r="A477" s="10">
        <v>39203</v>
      </c>
      <c r="B477" s="11">
        <v>4.4000000000000004</v>
      </c>
      <c r="C477" s="6">
        <v>1.3067523245E-4</v>
      </c>
    </row>
    <row r="478" spans="1:3" x14ac:dyDescent="0.3">
      <c r="A478" s="10">
        <v>39234</v>
      </c>
      <c r="B478" s="11">
        <v>4.5999999999999996</v>
      </c>
      <c r="C478" s="6">
        <v>-6.3592946423587093E-2</v>
      </c>
    </row>
    <row r="479" spans="1:3" x14ac:dyDescent="0.3">
      <c r="A479" s="10">
        <v>39264</v>
      </c>
      <c r="B479" s="11">
        <v>4.7</v>
      </c>
      <c r="C479" s="6">
        <v>0</v>
      </c>
    </row>
    <row r="480" spans="1:3" x14ac:dyDescent="0.3">
      <c r="A480" s="10">
        <v>39295</v>
      </c>
      <c r="B480" s="11">
        <v>4.5999999999999996</v>
      </c>
      <c r="C480" s="6">
        <v>3.6366623096745702E-2</v>
      </c>
    </row>
    <row r="481" spans="1:3" x14ac:dyDescent="0.3">
      <c r="A481" s="10">
        <v>39326</v>
      </c>
      <c r="B481" s="11">
        <v>4.7</v>
      </c>
      <c r="C481" s="6">
        <v>-0.57714049644881005</v>
      </c>
    </row>
    <row r="482" spans="1:3" x14ac:dyDescent="0.3">
      <c r="A482" s="10">
        <v>39356</v>
      </c>
      <c r="B482" s="11">
        <v>4.7</v>
      </c>
      <c r="C482" s="6">
        <v>-0.31403175180082299</v>
      </c>
    </row>
    <row r="483" spans="1:3" x14ac:dyDescent="0.3">
      <c r="A483" s="10">
        <v>39387</v>
      </c>
      <c r="B483" s="11">
        <v>4.7</v>
      </c>
      <c r="C483" s="6">
        <v>0</v>
      </c>
    </row>
    <row r="484" spans="1:3" x14ac:dyDescent="0.3">
      <c r="A484" s="10">
        <v>39417</v>
      </c>
      <c r="B484" s="11">
        <v>5</v>
      </c>
      <c r="C484" s="6">
        <v>-5.5390409543757999E-2</v>
      </c>
    </row>
    <row r="485" spans="1:3" x14ac:dyDescent="0.3">
      <c r="A485" s="10">
        <v>39448</v>
      </c>
      <c r="B485" s="11">
        <v>5</v>
      </c>
      <c r="C485" s="6">
        <v>-0.47246368368986802</v>
      </c>
    </row>
    <row r="486" spans="1:3" x14ac:dyDescent="0.3">
      <c r="A486" s="10">
        <v>39479</v>
      </c>
      <c r="B486" s="11">
        <v>4.9000000000000004</v>
      </c>
      <c r="C486" s="6">
        <v>0</v>
      </c>
    </row>
    <row r="487" spans="1:3" x14ac:dyDescent="0.3">
      <c r="A487" s="10">
        <v>39508</v>
      </c>
      <c r="B487" s="11">
        <v>5.0999999999999996</v>
      </c>
      <c r="C487" s="6">
        <v>-0.48796609742436697</v>
      </c>
    </row>
    <row r="488" spans="1:3" x14ac:dyDescent="0.3">
      <c r="A488" s="10">
        <v>39539</v>
      </c>
      <c r="B488" s="11">
        <v>5</v>
      </c>
      <c r="C488" s="6">
        <v>-0.15965348026100001</v>
      </c>
    </row>
    <row r="489" spans="1:3" x14ac:dyDescent="0.3">
      <c r="A489" s="10">
        <v>39569</v>
      </c>
      <c r="B489" s="11">
        <v>5.4</v>
      </c>
      <c r="C489" s="6">
        <v>0</v>
      </c>
    </row>
    <row r="490" spans="1:3" x14ac:dyDescent="0.3">
      <c r="A490" s="10">
        <v>39600</v>
      </c>
      <c r="B490" s="11">
        <v>5.6</v>
      </c>
      <c r="C490" s="6">
        <v>-1.07337878666087E-2</v>
      </c>
    </row>
    <row r="491" spans="1:3" x14ac:dyDescent="0.3">
      <c r="A491" s="10">
        <v>39630</v>
      </c>
      <c r="B491" s="11">
        <v>5.8</v>
      </c>
      <c r="C491" s="6">
        <v>0</v>
      </c>
    </row>
    <row r="492" spans="1:3" x14ac:dyDescent="0.3">
      <c r="A492" s="10">
        <v>39661</v>
      </c>
      <c r="B492" s="11">
        <v>6.1</v>
      </c>
      <c r="C492" s="6">
        <v>0.176852274349245</v>
      </c>
    </row>
    <row r="493" spans="1:3" x14ac:dyDescent="0.3">
      <c r="A493" s="10">
        <v>39692</v>
      </c>
      <c r="B493" s="11">
        <v>6.1</v>
      </c>
      <c r="C493" s="6">
        <v>0.10269969136507701</v>
      </c>
    </row>
    <row r="494" spans="1:3" x14ac:dyDescent="0.3">
      <c r="A494" s="10">
        <v>39722</v>
      </c>
      <c r="B494" s="11">
        <v>6.5</v>
      </c>
      <c r="C494" s="6">
        <v>-0.11738200920293</v>
      </c>
    </row>
    <row r="495" spans="1:3" x14ac:dyDescent="0.3">
      <c r="A495" s="10">
        <v>39753</v>
      </c>
      <c r="B495" s="11">
        <v>6.8</v>
      </c>
      <c r="C495" s="6">
        <v>0</v>
      </c>
    </row>
    <row r="496" spans="1:3" x14ac:dyDescent="0.3">
      <c r="A496" s="10">
        <v>39783</v>
      </c>
      <c r="B496" s="11">
        <v>7.3</v>
      </c>
      <c r="C496" s="6">
        <v>-0.222508911122137</v>
      </c>
    </row>
    <row r="497" spans="1:2" x14ac:dyDescent="0.3">
      <c r="A497" s="10">
        <v>39814</v>
      </c>
      <c r="B497" s="11">
        <v>7.8</v>
      </c>
    </row>
    <row r="498" spans="1:2" x14ac:dyDescent="0.3">
      <c r="A498" s="10">
        <v>39845</v>
      </c>
      <c r="B498" s="11">
        <v>8.3000000000000007</v>
      </c>
    </row>
    <row r="499" spans="1:2" x14ac:dyDescent="0.3">
      <c r="A499" s="10">
        <v>39873</v>
      </c>
      <c r="B499" s="11">
        <v>8.6999999999999993</v>
      </c>
    </row>
    <row r="500" spans="1:2" x14ac:dyDescent="0.3">
      <c r="A500" s="10">
        <v>39904</v>
      </c>
      <c r="B500" s="11">
        <v>9</v>
      </c>
    </row>
    <row r="501" spans="1:2" x14ac:dyDescent="0.3">
      <c r="A501" s="10">
        <v>39934</v>
      </c>
      <c r="B501" s="11">
        <v>9.4</v>
      </c>
    </row>
    <row r="502" spans="1:2" x14ac:dyDescent="0.3">
      <c r="A502" s="10">
        <v>39965</v>
      </c>
      <c r="B502" s="11">
        <v>9.5</v>
      </c>
    </row>
    <row r="503" spans="1:2" x14ac:dyDescent="0.3">
      <c r="A503" s="10">
        <v>39995</v>
      </c>
      <c r="B503" s="11">
        <v>9.5</v>
      </c>
    </row>
    <row r="504" spans="1:2" x14ac:dyDescent="0.3">
      <c r="A504" s="10">
        <v>40026</v>
      </c>
      <c r="B504" s="11">
        <v>9.6</v>
      </c>
    </row>
    <row r="505" spans="1:2" x14ac:dyDescent="0.3">
      <c r="A505" s="10">
        <v>40057</v>
      </c>
      <c r="B505" s="11">
        <v>9.8000000000000007</v>
      </c>
    </row>
    <row r="506" spans="1:2" x14ac:dyDescent="0.3">
      <c r="A506" s="10">
        <v>40087</v>
      </c>
      <c r="B506" s="11">
        <v>10</v>
      </c>
    </row>
    <row r="507" spans="1:2" x14ac:dyDescent="0.3">
      <c r="A507" s="10">
        <v>40118</v>
      </c>
      <c r="B507" s="11">
        <v>9.9</v>
      </c>
    </row>
    <row r="508" spans="1:2" x14ac:dyDescent="0.3">
      <c r="A508" s="10">
        <v>40148</v>
      </c>
      <c r="B508" s="11">
        <v>9.9</v>
      </c>
    </row>
    <row r="509" spans="1:2" x14ac:dyDescent="0.3">
      <c r="A509" s="10">
        <v>40179</v>
      </c>
      <c r="B509" s="11">
        <v>9.8000000000000007</v>
      </c>
    </row>
    <row r="510" spans="1:2" x14ac:dyDescent="0.3">
      <c r="A510" s="10">
        <v>40210</v>
      </c>
      <c r="B510" s="11">
        <v>9.8000000000000007</v>
      </c>
    </row>
    <row r="511" spans="1:2" x14ac:dyDescent="0.3">
      <c r="A511" s="10">
        <v>40238</v>
      </c>
      <c r="B511" s="11">
        <v>9.9</v>
      </c>
    </row>
    <row r="512" spans="1:2" x14ac:dyDescent="0.3">
      <c r="A512" s="10">
        <v>40269</v>
      </c>
      <c r="B512" s="11">
        <v>9.9</v>
      </c>
    </row>
    <row r="513" spans="1:2" x14ac:dyDescent="0.3">
      <c r="A513" s="10">
        <v>40299</v>
      </c>
      <c r="B513" s="11">
        <v>9.6</v>
      </c>
    </row>
    <row r="514" spans="1:2" x14ac:dyDescent="0.3">
      <c r="A514" s="10">
        <v>40330</v>
      </c>
      <c r="B514" s="11">
        <v>9.4</v>
      </c>
    </row>
    <row r="515" spans="1:2" x14ac:dyDescent="0.3">
      <c r="A515" s="10">
        <v>40360</v>
      </c>
      <c r="B515" s="11">
        <v>9.5</v>
      </c>
    </row>
    <row r="516" spans="1:2" x14ac:dyDescent="0.3">
      <c r="A516" s="10">
        <v>40391</v>
      </c>
      <c r="B516" s="11">
        <v>9.5</v>
      </c>
    </row>
    <row r="517" spans="1:2" x14ac:dyDescent="0.3">
      <c r="A517" s="10">
        <v>40422</v>
      </c>
      <c r="B517" s="11">
        <v>9.5</v>
      </c>
    </row>
    <row r="518" spans="1:2" x14ac:dyDescent="0.3">
      <c r="A518" s="10">
        <v>40452</v>
      </c>
      <c r="B518" s="11">
        <v>9.5</v>
      </c>
    </row>
    <row r="519" spans="1:2" x14ac:dyDescent="0.3">
      <c r="A519" s="10">
        <v>40483</v>
      </c>
      <c r="B519" s="11">
        <v>9.8000000000000007</v>
      </c>
    </row>
    <row r="520" spans="1:2" x14ac:dyDescent="0.3">
      <c r="A520" s="10">
        <v>40513</v>
      </c>
      <c r="B520" s="11">
        <v>9.3000000000000007</v>
      </c>
    </row>
    <row r="521" spans="1:2" x14ac:dyDescent="0.3">
      <c r="A521" s="10">
        <v>40544</v>
      </c>
      <c r="B521" s="11">
        <v>9.1</v>
      </c>
    </row>
    <row r="522" spans="1:2" x14ac:dyDescent="0.3">
      <c r="A522" s="10">
        <v>40575</v>
      </c>
      <c r="B522" s="11">
        <v>9</v>
      </c>
    </row>
    <row r="523" spans="1:2" x14ac:dyDescent="0.3">
      <c r="A523" s="10">
        <v>40603</v>
      </c>
      <c r="B523" s="11">
        <v>8.9</v>
      </c>
    </row>
    <row r="524" spans="1:2" x14ac:dyDescent="0.3">
      <c r="A524" s="10">
        <v>40634</v>
      </c>
      <c r="B524" s="11">
        <v>9</v>
      </c>
    </row>
    <row r="525" spans="1:2" x14ac:dyDescent="0.3">
      <c r="A525" s="10">
        <v>40664</v>
      </c>
      <c r="B525" s="11">
        <v>9</v>
      </c>
    </row>
    <row r="526" spans="1:2" x14ac:dyDescent="0.3">
      <c r="A526" s="10">
        <v>40695</v>
      </c>
      <c r="B526" s="11">
        <v>9.1</v>
      </c>
    </row>
    <row r="527" spans="1:2" x14ac:dyDescent="0.3">
      <c r="A527" s="10">
        <v>40725</v>
      </c>
      <c r="B527" s="11">
        <v>9</v>
      </c>
    </row>
    <row r="528" spans="1:2" x14ac:dyDescent="0.3">
      <c r="A528" s="10">
        <v>40756</v>
      </c>
      <c r="B528" s="11">
        <v>9</v>
      </c>
    </row>
    <row r="529" spans="1:2" x14ac:dyDescent="0.3">
      <c r="A529" s="10">
        <v>40787</v>
      </c>
      <c r="B529" s="11">
        <v>9</v>
      </c>
    </row>
    <row r="530" spans="1:2" x14ac:dyDescent="0.3">
      <c r="A530" s="10">
        <v>40817</v>
      </c>
      <c r="B530" s="11">
        <v>8.9</v>
      </c>
    </row>
    <row r="531" spans="1:2" x14ac:dyDescent="0.3">
      <c r="A531" s="10">
        <v>40848</v>
      </c>
      <c r="B531" s="11">
        <v>8.6</v>
      </c>
    </row>
    <row r="532" spans="1:2" x14ac:dyDescent="0.3">
      <c r="A532" s="10">
        <v>40878</v>
      </c>
      <c r="B532" s="11">
        <v>8.5</v>
      </c>
    </row>
    <row r="533" spans="1:2" x14ac:dyDescent="0.3">
      <c r="A533" s="10">
        <v>40909</v>
      </c>
      <c r="B533" s="11">
        <v>8.3000000000000007</v>
      </c>
    </row>
    <row r="534" spans="1:2" x14ac:dyDescent="0.3">
      <c r="A534" s="10">
        <v>40940</v>
      </c>
      <c r="B534" s="11">
        <v>8.3000000000000007</v>
      </c>
    </row>
    <row r="535" spans="1:2" x14ac:dyDescent="0.3">
      <c r="A535" s="10">
        <v>40969</v>
      </c>
      <c r="B535" s="11">
        <v>8.1999999999999993</v>
      </c>
    </row>
    <row r="536" spans="1:2" x14ac:dyDescent="0.3">
      <c r="A536" s="10">
        <v>41000</v>
      </c>
      <c r="B536" s="11">
        <v>8.1</v>
      </c>
    </row>
    <row r="537" spans="1:2" x14ac:dyDescent="0.3">
      <c r="A537" s="10">
        <v>41030</v>
      </c>
      <c r="B537" s="11">
        <v>8.1999999999999993</v>
      </c>
    </row>
    <row r="538" spans="1:2" x14ac:dyDescent="0.3">
      <c r="A538" s="10">
        <v>41061</v>
      </c>
      <c r="B538" s="11">
        <v>8.1999999999999993</v>
      </c>
    </row>
    <row r="539" spans="1:2" x14ac:dyDescent="0.3">
      <c r="A539" s="10">
        <v>41091</v>
      </c>
      <c r="B539" s="11">
        <v>8.1999999999999993</v>
      </c>
    </row>
    <row r="540" spans="1:2" x14ac:dyDescent="0.3">
      <c r="A540" s="10">
        <v>41122</v>
      </c>
      <c r="B540" s="11">
        <v>8.1</v>
      </c>
    </row>
    <row r="541" spans="1:2" x14ac:dyDescent="0.3">
      <c r="A541" s="10">
        <v>41153</v>
      </c>
      <c r="B541" s="11">
        <v>7.8</v>
      </c>
    </row>
    <row r="542" spans="1:2" x14ac:dyDescent="0.3">
      <c r="A542" s="10">
        <v>41183</v>
      </c>
      <c r="B542" s="11">
        <v>7.9</v>
      </c>
    </row>
    <row r="543" spans="1:2" x14ac:dyDescent="0.3">
      <c r="A543" s="10">
        <v>41214</v>
      </c>
      <c r="B543" s="11">
        <v>7.8</v>
      </c>
    </row>
    <row r="544" spans="1:2" x14ac:dyDescent="0.3">
      <c r="A544" s="10">
        <v>41244</v>
      </c>
      <c r="B544" s="11">
        <v>7.8</v>
      </c>
    </row>
    <row r="545" spans="1:2" x14ac:dyDescent="0.3">
      <c r="A545" s="10">
        <v>41275</v>
      </c>
      <c r="B545" s="11">
        <v>7.9</v>
      </c>
    </row>
    <row r="546" spans="1:2" x14ac:dyDescent="0.3">
      <c r="A546" s="10">
        <v>41306</v>
      </c>
      <c r="B546" s="11">
        <v>7.7</v>
      </c>
    </row>
    <row r="547" spans="1:2" x14ac:dyDescent="0.3">
      <c r="A547" s="10">
        <v>41334</v>
      </c>
      <c r="B547" s="11">
        <v>7.6</v>
      </c>
    </row>
    <row r="548" spans="1:2" x14ac:dyDescent="0.3">
      <c r="A548" s="10">
        <v>41365</v>
      </c>
      <c r="B548" s="11">
        <v>7.5</v>
      </c>
    </row>
    <row r="549" spans="1:2" x14ac:dyDescent="0.3">
      <c r="A549" s="10">
        <v>41395</v>
      </c>
      <c r="B549" s="11">
        <v>7.6</v>
      </c>
    </row>
    <row r="550" spans="1:2" x14ac:dyDescent="0.3">
      <c r="A550" s="10">
        <v>41426</v>
      </c>
      <c r="B550" s="11">
        <v>7.6</v>
      </c>
    </row>
    <row r="551" spans="1:2" x14ac:dyDescent="0.3">
      <c r="A551" s="10">
        <v>41456</v>
      </c>
      <c r="B551" s="11">
        <v>7.4</v>
      </c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0"/>
  <sheetViews>
    <sheetView workbookViewId="0">
      <selection activeCell="N7" sqref="N5:N7"/>
    </sheetView>
  </sheetViews>
  <sheetFormatPr defaultRowHeight="14.4" x14ac:dyDescent="0.3"/>
  <cols>
    <col min="5" max="5" width="2.109375" style="3" customWidth="1"/>
    <col min="6" max="9" width="9.109375" style="12"/>
    <col min="10" max="10" width="3" style="13" customWidth="1"/>
    <col min="11" max="11" width="2.5546875" style="6" customWidth="1"/>
    <col min="12" max="13" width="9.109375" style="6"/>
    <col min="14" max="14" width="11.33203125" style="6" customWidth="1"/>
    <col min="15" max="15" width="9.109375" style="6"/>
    <col min="16" max="16" width="2.109375" style="7" customWidth="1"/>
    <col min="17" max="17" width="2.109375" style="22" customWidth="1"/>
    <col min="18" max="18" width="8.44140625" style="24" customWidth="1"/>
    <col min="19" max="19" width="10.44140625" customWidth="1"/>
    <col min="21" max="21" width="16.44140625" style="18" customWidth="1"/>
  </cols>
  <sheetData>
    <row r="1" spans="1:21" x14ac:dyDescent="0.3">
      <c r="F1" s="12" t="s">
        <v>5</v>
      </c>
      <c r="L1" s="6" t="s">
        <v>9</v>
      </c>
    </row>
    <row r="2" spans="1:21" x14ac:dyDescent="0.3">
      <c r="F2" s="12" t="s">
        <v>8</v>
      </c>
    </row>
    <row r="3" spans="1:21" x14ac:dyDescent="0.3">
      <c r="B3" s="58" t="s">
        <v>19</v>
      </c>
      <c r="C3" s="58"/>
      <c r="M3" s="19">
        <v>1990</v>
      </c>
      <c r="N3" s="19" t="s">
        <v>13</v>
      </c>
      <c r="T3" t="s">
        <v>23</v>
      </c>
      <c r="U3" s="18" t="s">
        <v>25</v>
      </c>
    </row>
    <row r="4" spans="1:21" s="4" customFormat="1" x14ac:dyDescent="0.3">
      <c r="A4" s="16" t="s">
        <v>20</v>
      </c>
      <c r="B4" s="16" t="s">
        <v>17</v>
      </c>
      <c r="C4" s="16" t="s">
        <v>18</v>
      </c>
      <c r="D4" s="16" t="s">
        <v>21</v>
      </c>
      <c r="E4" s="5"/>
      <c r="F4" s="14"/>
      <c r="G4" s="14" t="s">
        <v>3</v>
      </c>
      <c r="H4" s="14" t="s">
        <v>4</v>
      </c>
      <c r="I4" s="14" t="s">
        <v>2</v>
      </c>
      <c r="J4" s="15"/>
      <c r="K4" s="8"/>
      <c r="L4" s="20" t="s">
        <v>10</v>
      </c>
      <c r="M4" s="20" t="s">
        <v>12</v>
      </c>
      <c r="N4" s="20" t="s">
        <v>22</v>
      </c>
      <c r="O4" s="8"/>
      <c r="P4" s="9"/>
      <c r="Q4" s="23"/>
      <c r="R4" s="25" t="s">
        <v>24</v>
      </c>
      <c r="T4" s="4" t="s">
        <v>18</v>
      </c>
      <c r="U4" s="16" t="s">
        <v>26</v>
      </c>
    </row>
    <row r="5" spans="1:21" x14ac:dyDescent="0.3">
      <c r="A5" s="18">
        <v>0</v>
      </c>
      <c r="B5" s="18">
        <v>-0.16363441482787225</v>
      </c>
      <c r="C5" s="18">
        <v>-9.3521658106021796E-2</v>
      </c>
      <c r="D5" s="18">
        <f>C5-B5</f>
        <v>7.0112756721850453E-2</v>
      </c>
      <c r="F5" s="12">
        <v>1</v>
      </c>
      <c r="G5" s="12">
        <v>0.97132165665518599</v>
      </c>
      <c r="H5" s="12">
        <v>-5.0798065020768501E-2</v>
      </c>
      <c r="I5" s="12">
        <v>0.116203295751691</v>
      </c>
      <c r="L5" s="21">
        <v>0</v>
      </c>
      <c r="M5" s="6">
        <f>D5</f>
        <v>7.0112756721850453E-2</v>
      </c>
      <c r="N5" s="6">
        <f>0</f>
        <v>0</v>
      </c>
      <c r="R5" s="24">
        <v>-1</v>
      </c>
      <c r="S5" s="1">
        <v>33025</v>
      </c>
      <c r="T5" s="2">
        <v>5.2</v>
      </c>
      <c r="U5" s="27">
        <f>T5</f>
        <v>5.2</v>
      </c>
    </row>
    <row r="6" spans="1:21" x14ac:dyDescent="0.3">
      <c r="A6" s="18">
        <f>A5+1</f>
        <v>1</v>
      </c>
      <c r="B6" s="18">
        <v>-0.19412110504071639</v>
      </c>
      <c r="C6" s="18">
        <v>8.068668147658821E-2</v>
      </c>
      <c r="D6" s="18">
        <f>(C6-C5)-(B6-B5)</f>
        <v>0.20469502979545415</v>
      </c>
      <c r="F6" s="12">
        <v>2</v>
      </c>
      <c r="G6" s="12">
        <v>0.17193252591855199</v>
      </c>
      <c r="H6" s="12">
        <v>1.8920987941651299E-2</v>
      </c>
      <c r="L6" s="19">
        <v>1</v>
      </c>
      <c r="M6" s="6">
        <f t="shared" ref="M6:M69" si="0">D6</f>
        <v>0.20469502979545415</v>
      </c>
      <c r="N6" s="6">
        <f>G$5*N5+H$5*M5</f>
        <v>-3.5615923747418831E-3</v>
      </c>
      <c r="R6" s="24">
        <v>0</v>
      </c>
      <c r="S6" s="1">
        <v>33055</v>
      </c>
      <c r="T6" s="2">
        <v>5.5</v>
      </c>
      <c r="U6" s="27">
        <f>T6</f>
        <v>5.5</v>
      </c>
    </row>
    <row r="7" spans="1:21" x14ac:dyDescent="0.3">
      <c r="A7" s="18">
        <f t="shared" ref="A7:A53" si="1">A6+1</f>
        <v>2</v>
      </c>
      <c r="B7" s="18">
        <v>2.0533216256124837E-2</v>
      </c>
      <c r="C7" s="18">
        <v>8.068668147658821E-2</v>
      </c>
      <c r="D7" s="18">
        <f t="shared" ref="D7:D53" si="2">(C7-C6)-(B7-B6)</f>
        <v>-0.21465432129684123</v>
      </c>
      <c r="F7" s="12">
        <v>3</v>
      </c>
      <c r="G7" s="12">
        <v>3.2012325767390597E-2</v>
      </c>
      <c r="H7" s="12">
        <v>-1.09532845050231E-2</v>
      </c>
      <c r="L7" s="19">
        <v>2</v>
      </c>
      <c r="M7" s="6">
        <f t="shared" si="0"/>
        <v>-0.21465432129684123</v>
      </c>
      <c r="N7" s="6">
        <f>G$5*N6+G$6*N5+H$5*M6+H$6*M5</f>
        <v>-1.2530960614252327E-2</v>
      </c>
      <c r="R7" s="24">
        <v>1</v>
      </c>
      <c r="S7" s="1">
        <v>33086</v>
      </c>
      <c r="T7" s="2">
        <v>5.7</v>
      </c>
      <c r="U7" s="27">
        <f>T7-N6</f>
        <v>5.7035615923747418</v>
      </c>
    </row>
    <row r="8" spans="1:21" x14ac:dyDescent="0.3">
      <c r="A8" s="18">
        <f t="shared" si="1"/>
        <v>3</v>
      </c>
      <c r="B8" s="18">
        <v>-0.89505631177388989</v>
      </c>
      <c r="C8" s="18">
        <v>-8.8663289187418393E-4</v>
      </c>
      <c r="D8" s="18">
        <f t="shared" si="2"/>
        <v>0.83401621366155232</v>
      </c>
      <c r="F8" s="12">
        <v>4</v>
      </c>
      <c r="G8" s="12">
        <v>-4.1751144496329697E-2</v>
      </c>
      <c r="H8" s="12">
        <v>-1.3412907958196701E-2</v>
      </c>
      <c r="L8" s="19">
        <v>3</v>
      </c>
      <c r="M8" s="6">
        <f t="shared" si="0"/>
        <v>0.83401621366155232</v>
      </c>
      <c r="N8" s="6">
        <f>G$5*N7+G$6*N6+G$7*N5+H$5*M7+H$6*M6+H$7*M5</f>
        <v>1.2251443922976315E-3</v>
      </c>
      <c r="R8" s="24">
        <f>R7+1</f>
        <v>2</v>
      </c>
      <c r="S8" s="1">
        <v>33117</v>
      </c>
      <c r="T8" s="2">
        <v>5.9</v>
      </c>
      <c r="U8" s="27">
        <f t="shared" ref="U8:U71" si="3">T8-N7</f>
        <v>5.9125309606142524</v>
      </c>
    </row>
    <row r="9" spans="1:21" x14ac:dyDescent="0.3">
      <c r="A9" s="18">
        <f t="shared" si="1"/>
        <v>4</v>
      </c>
      <c r="B9" s="18">
        <v>-1.0196887171393891</v>
      </c>
      <c r="C9" s="18">
        <v>5.1281206118679715E-2</v>
      </c>
      <c r="D9" s="18">
        <f t="shared" si="2"/>
        <v>0.17680024437605313</v>
      </c>
      <c r="F9" s="12">
        <v>5</v>
      </c>
      <c r="G9" s="12">
        <v>-7.7196156434740607E-2</v>
      </c>
      <c r="H9" s="12">
        <v>5.9080706844004197E-2</v>
      </c>
      <c r="L9" s="19">
        <v>4</v>
      </c>
      <c r="M9" s="6">
        <f t="shared" si="0"/>
        <v>0.17680024437605313</v>
      </c>
      <c r="N9" s="6">
        <f>G$5*N8+G$6*N7+G$7*N6+G$8*N5+H$5*M8+H$6*M7+H$7*M6+H$8*M5</f>
        <v>-5.0688865810731815E-2</v>
      </c>
      <c r="R9" s="24">
        <f t="shared" ref="R9:R72" si="4">R8+1</f>
        <v>3</v>
      </c>
      <c r="S9" s="1">
        <v>33147</v>
      </c>
      <c r="T9" s="2">
        <v>5.9</v>
      </c>
      <c r="U9" s="27">
        <f t="shared" si="3"/>
        <v>5.8987748556077024</v>
      </c>
    </row>
    <row r="10" spans="1:21" x14ac:dyDescent="0.3">
      <c r="A10" s="18">
        <f t="shared" si="1"/>
        <v>5</v>
      </c>
      <c r="B10" s="18">
        <v>-0.83090114655859626</v>
      </c>
      <c r="C10" s="18">
        <v>-1.8469130472391584E-2</v>
      </c>
      <c r="D10" s="18">
        <f t="shared" si="2"/>
        <v>-0.2585379071718642</v>
      </c>
      <c r="F10" s="12">
        <v>6</v>
      </c>
      <c r="G10" s="12">
        <v>8.2494470788330495E-3</v>
      </c>
      <c r="H10" s="12">
        <v>3.4696330464081403E-2</v>
      </c>
      <c r="L10" s="19">
        <f>L9+1</f>
        <v>5</v>
      </c>
      <c r="M10" s="6">
        <f t="shared" si="0"/>
        <v>-0.2585379071718642</v>
      </c>
      <c r="N10" s="6">
        <f>G$5*N9+G$6*N8+G$7*N7+G$8*N6+G$9*N5+H$5*M9+H$6*M8+H$7*M7+H$8*M6+H$9*M5</f>
        <v>-3.8729769683268467E-2</v>
      </c>
      <c r="R10" s="24">
        <f t="shared" si="4"/>
        <v>4</v>
      </c>
      <c r="S10" s="1">
        <v>33178</v>
      </c>
      <c r="T10" s="2">
        <v>6.2</v>
      </c>
      <c r="U10" s="27">
        <f t="shared" si="3"/>
        <v>6.2506888658107318</v>
      </c>
    </row>
    <row r="11" spans="1:21" x14ac:dyDescent="0.3">
      <c r="A11" s="18">
        <f t="shared" si="1"/>
        <v>6</v>
      </c>
      <c r="B11" s="18">
        <v>-0.67972573690058247</v>
      </c>
      <c r="C11" s="18">
        <v>-1.8469130472391584E-2</v>
      </c>
      <c r="D11" s="18">
        <f t="shared" si="2"/>
        <v>-0.15117540965801379</v>
      </c>
      <c r="F11" s="12">
        <v>7</v>
      </c>
      <c r="G11" s="12">
        <v>-6.7693214313629901E-2</v>
      </c>
      <c r="H11" s="12">
        <v>3.3556428170122499E-2</v>
      </c>
      <c r="L11" s="19">
        <f t="shared" ref="L11:L74" si="5">L10+1</f>
        <v>6</v>
      </c>
      <c r="M11" s="6">
        <f t="shared" si="0"/>
        <v>-0.15117540965801379</v>
      </c>
      <c r="N11" s="6">
        <f>G$5*N10+G$6*N9+G$7*N8+G$8*N7+G$9*N6+G$10*N5+H$5*M10+H$6*M9+H$7*M8+H$8*M7+H$9*M6+H$10*M5</f>
        <v>-2.0748220954756966E-2</v>
      </c>
      <c r="R11" s="24">
        <f t="shared" si="4"/>
        <v>5</v>
      </c>
      <c r="S11" s="1">
        <v>33208</v>
      </c>
      <c r="T11" s="2">
        <v>6.3</v>
      </c>
      <c r="U11" s="27">
        <f t="shared" si="3"/>
        <v>6.3387297696832681</v>
      </c>
    </row>
    <row r="12" spans="1:21" x14ac:dyDescent="0.3">
      <c r="A12" s="18">
        <f t="shared" si="1"/>
        <v>7</v>
      </c>
      <c r="B12" s="18">
        <v>-0.44452747214128363</v>
      </c>
      <c r="C12" s="18">
        <v>-0.23697024972460157</v>
      </c>
      <c r="D12" s="18">
        <f t="shared" si="2"/>
        <v>-0.45369938401150883</v>
      </c>
      <c r="F12" s="12">
        <v>8</v>
      </c>
      <c r="G12" s="12">
        <v>3.79096494416484E-3</v>
      </c>
      <c r="H12" s="12">
        <v>-1.12366172257329E-2</v>
      </c>
      <c r="L12" s="19">
        <f t="shared" si="5"/>
        <v>7</v>
      </c>
      <c r="M12" s="6">
        <f t="shared" si="0"/>
        <v>-0.45369938401150883</v>
      </c>
      <c r="N12" s="6">
        <f>G$5*N11+G$6*N10+G$7*N9+G$8*N8+G$9*N7+G$10*N6+G$11*N5+H$5*M11+H$6*M10+H$7*M9+H$8*M8+H$9*M7+H$10*M6+H$11*M5</f>
        <v>-4.1110491685788668E-2</v>
      </c>
      <c r="R12" s="24">
        <f t="shared" si="4"/>
        <v>6</v>
      </c>
      <c r="S12" s="1">
        <v>33239</v>
      </c>
      <c r="T12" s="2">
        <v>6.4</v>
      </c>
      <c r="U12" s="27">
        <f t="shared" si="3"/>
        <v>6.4207482209547573</v>
      </c>
    </row>
    <row r="13" spans="1:21" x14ac:dyDescent="0.3">
      <c r="A13" s="18">
        <f t="shared" si="1"/>
        <v>8</v>
      </c>
      <c r="B13" s="18">
        <v>-0.47968797543964814</v>
      </c>
      <c r="C13" s="18">
        <v>3.8706020860592438E-2</v>
      </c>
      <c r="D13" s="18">
        <f t="shared" si="2"/>
        <v>0.31083677388355851</v>
      </c>
      <c r="F13" s="12">
        <v>9</v>
      </c>
      <c r="G13" s="12">
        <v>1.9047712583310901E-2</v>
      </c>
      <c r="H13" s="12">
        <v>-8.4348657422356095E-3</v>
      </c>
      <c r="L13" s="19">
        <f t="shared" si="5"/>
        <v>8</v>
      </c>
      <c r="M13" s="6">
        <f t="shared" si="0"/>
        <v>0.31083677388355851</v>
      </c>
      <c r="N13" s="6">
        <f>G$5*N12+G$6*N11+G$7*N10+G$8*N9+G$9*N8+G$10*N7+G$11*N6+G$12*N5+H$5*M12+H$6*M11+H$7*M10+H$8*M9+H$9*M8+H$10*M7+H$11*M6+H$12*M5</f>
        <v>2.5975479493812924E-2</v>
      </c>
      <c r="R13" s="24">
        <f t="shared" si="4"/>
        <v>7</v>
      </c>
      <c r="S13" s="1">
        <v>33270</v>
      </c>
      <c r="T13" s="2">
        <v>6.6</v>
      </c>
      <c r="U13" s="27">
        <f t="shared" si="3"/>
        <v>6.6411104916857884</v>
      </c>
    </row>
    <row r="14" spans="1:21" x14ac:dyDescent="0.3">
      <c r="A14" s="18">
        <f t="shared" si="1"/>
        <v>9</v>
      </c>
      <c r="B14" s="18">
        <v>-0.23244361797101398</v>
      </c>
      <c r="C14" s="18">
        <v>3.8706020860592438E-2</v>
      </c>
      <c r="D14" s="18">
        <f t="shared" si="2"/>
        <v>-0.24724435746863416</v>
      </c>
      <c r="F14" s="12">
        <v>10</v>
      </c>
      <c r="G14" s="12">
        <v>-6.3387531946679301E-2</v>
      </c>
      <c r="H14" s="12">
        <v>4.14180336912549E-2</v>
      </c>
      <c r="L14" s="19">
        <f t="shared" si="5"/>
        <v>9</v>
      </c>
      <c r="M14" s="6">
        <f t="shared" si="0"/>
        <v>-0.24724435746863416</v>
      </c>
      <c r="N14" s="6">
        <f>G$5*N13+G$6*N12+G$7*N11+G$8*N10+G$9*N9+G$10*N8+G$11*N7+G$12*N6+G$13*N5+H$5*M13+H$6*M12+H$7*M11+H$8*M10+H$9*M9+H$10*M8+H$11*M7+H$12*M6+H$13*M5</f>
        <v>3.3910527076231531E-2</v>
      </c>
      <c r="R14" s="24">
        <f t="shared" si="4"/>
        <v>8</v>
      </c>
      <c r="S14" s="1">
        <v>33298</v>
      </c>
      <c r="T14" s="2">
        <v>6.8</v>
      </c>
      <c r="U14" s="27">
        <f t="shared" si="3"/>
        <v>6.7740245205061873</v>
      </c>
    </row>
    <row r="15" spans="1:21" x14ac:dyDescent="0.3">
      <c r="A15" s="18">
        <f t="shared" si="1"/>
        <v>10</v>
      </c>
      <c r="B15" s="18">
        <v>0.10181353569821966</v>
      </c>
      <c r="C15" s="18">
        <v>0.28668326568754343</v>
      </c>
      <c r="D15" s="18">
        <f t="shared" si="2"/>
        <v>-8.6279908842282649E-2</v>
      </c>
      <c r="F15" s="12">
        <v>11</v>
      </c>
      <c r="G15" s="12">
        <v>0.14179562314265201</v>
      </c>
      <c r="H15" s="12">
        <v>2.6352124104481001E-2</v>
      </c>
      <c r="L15" s="19">
        <f t="shared" si="5"/>
        <v>10</v>
      </c>
      <c r="M15" s="6">
        <f t="shared" si="0"/>
        <v>-8.6279908842282649E-2</v>
      </c>
      <c r="N15" s="6">
        <f>G$5*N14+G$6*N13+G$7*N12+G$8*N11+G$9*N10+G$10*N9+G$11*N8+G$12*N7+G$13*N6+G$14*N5+H$5*M14+H$6*M13+H$7*M12+H$8*M11+H$9*M10+H$10*M9+H$11*M8+H$12*M7+H$13*M6+H$14*M5</f>
        <v>8.7201376843818124E-2</v>
      </c>
      <c r="R15" s="24">
        <f t="shared" si="4"/>
        <v>9</v>
      </c>
      <c r="S15" s="1">
        <v>33329</v>
      </c>
      <c r="T15" s="2">
        <v>6.7</v>
      </c>
      <c r="U15" s="27">
        <f t="shared" si="3"/>
        <v>6.666089472923769</v>
      </c>
    </row>
    <row r="16" spans="1:21" x14ac:dyDescent="0.3">
      <c r="A16" s="18">
        <f t="shared" si="1"/>
        <v>11</v>
      </c>
      <c r="B16" s="18">
        <v>-0.22705258252132138</v>
      </c>
      <c r="C16" s="18">
        <v>0.28668326568754343</v>
      </c>
      <c r="D16" s="18">
        <f t="shared" si="2"/>
        <v>0.32886611821954104</v>
      </c>
      <c r="F16" s="12">
        <v>12</v>
      </c>
      <c r="G16" s="12">
        <v>-0.220190716487557</v>
      </c>
      <c r="H16" s="12">
        <v>3.9486867049303702E-2</v>
      </c>
      <c r="L16" s="19">
        <f t="shared" si="5"/>
        <v>11</v>
      </c>
      <c r="M16" s="6">
        <f t="shared" si="0"/>
        <v>0.32886611821954104</v>
      </c>
      <c r="N16" s="6">
        <f>G$5*N15+G$6*N14+G$7*N13+G$8*N12+G$9*N11+G$10*N10+G$11*N9+G$12*N8+G$13*N7+G$14*N6+G$15*N5+H$5*M15+H$6*M14+H$7*M13+H$8*M12+H$9*M11+H$10*M10+H$11*M9+H$12*M8+H$13*M7+H$14*M6+H$15*M5</f>
        <v>9.096520134346911E-2</v>
      </c>
      <c r="R16" s="24">
        <f t="shared" si="4"/>
        <v>10</v>
      </c>
      <c r="S16" s="1">
        <v>33359</v>
      </c>
      <c r="T16" s="2">
        <v>6.9</v>
      </c>
      <c r="U16" s="27">
        <f t="shared" si="3"/>
        <v>6.8127986231561826</v>
      </c>
    </row>
    <row r="17" spans="1:21" x14ac:dyDescent="0.3">
      <c r="A17" s="18">
        <f t="shared" si="1"/>
        <v>12</v>
      </c>
      <c r="B17" s="18">
        <v>-0.26780817224569409</v>
      </c>
      <c r="C17" s="18">
        <v>0.22838222440169204</v>
      </c>
      <c r="D17" s="18">
        <f t="shared" si="2"/>
        <v>-1.7545451561478687E-2</v>
      </c>
      <c r="F17" s="12">
        <f>F16+1</f>
        <v>13</v>
      </c>
      <c r="G17" s="12">
        <v>4.1647455402133701E-2</v>
      </c>
      <c r="H17" s="12">
        <v>-5.0517557020260798E-2</v>
      </c>
      <c r="L17" s="19">
        <f t="shared" si="5"/>
        <v>12</v>
      </c>
      <c r="M17" s="6">
        <f t="shared" si="0"/>
        <v>-1.7545451561478687E-2</v>
      </c>
      <c r="N17" s="6">
        <f>G$5*N16+G$6*N15+G$7*N14+G$8*N13+G$9*N12+G$10*N11+G$11*N10+G$12*N9+G$13*N8+G$14*N7+G$15*N6+G$16*N5+H$5*M16+H$6*M15+H$7*M14+H$8*M13+H$9*M12+H$10*M11+H$11*M10+H$12*M9+H$13*M8+H$14*M7+H$15*M6+H$16*M5</f>
        <v>3.8820488785503718E-2</v>
      </c>
      <c r="R17" s="24">
        <f t="shared" si="4"/>
        <v>11</v>
      </c>
      <c r="S17" s="1">
        <v>33390</v>
      </c>
      <c r="T17" s="2">
        <v>6.9</v>
      </c>
      <c r="U17" s="27">
        <f t="shared" si="3"/>
        <v>6.8090347986565316</v>
      </c>
    </row>
    <row r="18" spans="1:21" x14ac:dyDescent="0.3">
      <c r="A18" s="18">
        <f t="shared" si="1"/>
        <v>13</v>
      </c>
      <c r="B18" s="18">
        <v>-0.7455141928047222</v>
      </c>
      <c r="C18" s="18">
        <v>0.36496856117405507</v>
      </c>
      <c r="D18" s="18">
        <f t="shared" si="2"/>
        <v>0.6142923573313912</v>
      </c>
      <c r="F18" s="12">
        <f t="shared" ref="F18:F40" si="6">F17+1</f>
        <v>14</v>
      </c>
      <c r="G18" s="12">
        <v>-7.8565737942714001E-2</v>
      </c>
      <c r="H18" s="12">
        <v>-9.6150662902674301E-3</v>
      </c>
      <c r="L18" s="19">
        <f t="shared" si="5"/>
        <v>13</v>
      </c>
      <c r="M18" s="6">
        <f t="shared" si="0"/>
        <v>0.6142923573313912</v>
      </c>
      <c r="N18" s="6">
        <f>G$5*N17+G$6*N16+G$7*N15+G$8*N14+G$9*N13+G$10*N12+G$11*N11+G$12*N10+G$13*N9+G$14*N8+G$15*N7+G$16*N6+G$17*N5+H$5*M17+H$6*M16+H$7*M15+H$8*M14+H$9*M13+H$10*M12+H$11*M11+H$12*M10+H$13*M9+H$14*M8+H$15*M7+H$16*M6+H$17*M5</f>
        <v>9.5366613395355126E-2</v>
      </c>
      <c r="R18" s="24">
        <f t="shared" si="4"/>
        <v>12</v>
      </c>
      <c r="S18" s="1">
        <v>33420</v>
      </c>
      <c r="T18" s="2">
        <v>6.8</v>
      </c>
      <c r="U18" s="27">
        <f t="shared" si="3"/>
        <v>6.7611795112144959</v>
      </c>
    </row>
    <row r="19" spans="1:21" x14ac:dyDescent="0.3">
      <c r="A19" s="18">
        <f t="shared" si="1"/>
        <v>14</v>
      </c>
      <c r="B19" s="18">
        <v>-0.77052338362643491</v>
      </c>
      <c r="C19" s="18">
        <v>0.36496856117405507</v>
      </c>
      <c r="D19" s="18">
        <f t="shared" si="2"/>
        <v>2.5009190821712712E-2</v>
      </c>
      <c r="F19" s="12">
        <f t="shared" si="6"/>
        <v>15</v>
      </c>
      <c r="G19" s="12">
        <v>0.14423426554972599</v>
      </c>
      <c r="H19" s="12">
        <v>-1.18386675031509E-2</v>
      </c>
      <c r="L19" s="19">
        <f t="shared" si="5"/>
        <v>14</v>
      </c>
      <c r="M19" s="6">
        <f t="shared" si="0"/>
        <v>2.5009190821712712E-2</v>
      </c>
      <c r="N19" s="6">
        <f>G$5*N18+G$6*N17+G$7*N16+G$8*N15+G$9*N14+G$10*N13+G$11*N12+G$12*N11+G$13*N10+G$14*N9+G$15*N8+G$16*N7+G$17*N6+G$18*N5+H$5*M18+H$6*M17+H$7*M16+H$8*M15+H$9*M14+H$10*M13+H$11*M12+H$12*M11+H$13*M10+H$14*M9+H$15*M8+H$16*M7+H$17*M6+H$18*M5</f>
        <v>6.4798742016810532E-2</v>
      </c>
      <c r="R19" s="24">
        <f t="shared" si="4"/>
        <v>13</v>
      </c>
      <c r="S19" s="1">
        <v>33451</v>
      </c>
      <c r="T19" s="2">
        <v>6.9</v>
      </c>
      <c r="U19" s="27">
        <f t="shared" si="3"/>
        <v>6.8046333866046451</v>
      </c>
    </row>
    <row r="20" spans="1:21" x14ac:dyDescent="0.3">
      <c r="A20" s="18">
        <f t="shared" si="1"/>
        <v>15</v>
      </c>
      <c r="B20" s="18">
        <v>-0.79117136572166946</v>
      </c>
      <c r="C20" s="18">
        <v>0.3691532081619287</v>
      </c>
      <c r="D20" s="18">
        <f t="shared" si="2"/>
        <v>2.4832629083108182E-2</v>
      </c>
      <c r="F20" s="12">
        <f t="shared" si="6"/>
        <v>16</v>
      </c>
      <c r="G20" s="12">
        <v>8.3197230368548397E-2</v>
      </c>
      <c r="H20" s="12">
        <v>-3.0026620796342E-2</v>
      </c>
      <c r="L20" s="19">
        <f t="shared" si="5"/>
        <v>15</v>
      </c>
      <c r="M20" s="6">
        <f t="shared" si="0"/>
        <v>2.4832629083108182E-2</v>
      </c>
      <c r="N20" s="6">
        <f>G$5*N19+G$6*N18+G$7*N17+G$8*N16+G$9*N15+G$10*N14+G$11*N13+G$12*N12+G$13*N11+G$14*N10+G$15*N9+G$16*N8+G$17*N7+G$18*N6+G$19*N5+H$5*M19+H$6*M18+H$7*M17+H$8*M16+H$9*M15+H$10*M14+H$11*M13+H$12*M12+H$13*M11+H$14*M10+H$15*M9+H$16*M8+H$17*M7+H$18*M6+H$19*M5</f>
        <v>0.10696706028853749</v>
      </c>
      <c r="R20" s="24">
        <f t="shared" si="4"/>
        <v>14</v>
      </c>
      <c r="S20" s="1">
        <v>33482</v>
      </c>
      <c r="T20" s="2">
        <v>6.9</v>
      </c>
      <c r="U20" s="27">
        <f t="shared" si="3"/>
        <v>6.83520125798319</v>
      </c>
    </row>
    <row r="21" spans="1:21" x14ac:dyDescent="0.3">
      <c r="A21" s="18">
        <f t="shared" si="1"/>
        <v>16</v>
      </c>
      <c r="B21" s="18">
        <v>-0.38910295499303871</v>
      </c>
      <c r="C21" s="18">
        <v>0.27156014981771492</v>
      </c>
      <c r="D21" s="18">
        <f t="shared" si="2"/>
        <v>-0.49966146907284453</v>
      </c>
      <c r="F21" s="12">
        <f t="shared" si="6"/>
        <v>17</v>
      </c>
      <c r="G21" s="12">
        <v>-7.2815925492130201E-2</v>
      </c>
      <c r="H21" s="12">
        <v>9.8576495093000201E-3</v>
      </c>
      <c r="L21" s="19">
        <f t="shared" si="5"/>
        <v>16</v>
      </c>
      <c r="M21" s="6">
        <f t="shared" si="0"/>
        <v>-0.49966146907284453</v>
      </c>
      <c r="N21" s="6">
        <f>G$5*N20+G$6*N19+G$7*N18+G$8*N17+G$9*N16+G$10*N15+G$11*N14+G$12*N13+G$13*N12+G$14*N11+G$15*N10+G$16*N9+G$17*N8+G$18*N7+G$19*N6+G$20*N5+H$5*M20+H$6*M19+H$7*M18+H$8*M17+H$9*M16+H$10*M15+H$11*M14+H$12*M13+H$13*M12+H$14*M11+H$15*M10+H$16*M9+H$17*M8+H$18*M7+H$19*M6+H$20*M5</f>
        <v>6.5198026873232034E-2</v>
      </c>
      <c r="R21" s="24">
        <f t="shared" si="4"/>
        <v>15</v>
      </c>
      <c r="S21" s="1">
        <v>33512</v>
      </c>
      <c r="T21" s="2">
        <v>7</v>
      </c>
      <c r="U21" s="27">
        <f t="shared" si="3"/>
        <v>6.8930329397114622</v>
      </c>
    </row>
    <row r="22" spans="1:21" x14ac:dyDescent="0.3">
      <c r="A22" s="18">
        <f t="shared" si="1"/>
        <v>17</v>
      </c>
      <c r="B22" s="18">
        <v>-0.35699991673522735</v>
      </c>
      <c r="C22" s="18">
        <v>0.45139965382667691</v>
      </c>
      <c r="D22" s="18">
        <f t="shared" si="2"/>
        <v>0.14773646575115063</v>
      </c>
      <c r="F22" s="12">
        <f t="shared" si="6"/>
        <v>18</v>
      </c>
      <c r="G22" s="12">
        <v>1.29874536664264E-2</v>
      </c>
      <c r="H22" s="12">
        <v>4.8930777648494697E-2</v>
      </c>
      <c r="L22" s="19">
        <f t="shared" si="5"/>
        <v>17</v>
      </c>
      <c r="M22" s="6">
        <f t="shared" si="0"/>
        <v>0.14773646575115063</v>
      </c>
      <c r="N22" s="6">
        <f>G$5*N21+G$6*N20+G$7*N19+G$8*N18+G$9*N17+G$10*N16+G$11*N15+G$12*N14+G$13*N13+G$14*N12+G$15*N11+G$16*N10+G$17*N9+G$18*N8+G$19*N7+G$20*N6+G$21*N5+H$5*M21+H$6*M20+H$7*M19+H$8*M18+H$9*M17+H$10*M16+H$11*M15+H$12*M14+H$13*M13+H$14*M12+H$15*M11+H$16*M10+H$17*M9+H$18*M8+H$19*M7+H$20*M6+H$21*M5</f>
        <v>4.8291558492950616E-2</v>
      </c>
      <c r="R22" s="24">
        <f t="shared" si="4"/>
        <v>16</v>
      </c>
      <c r="S22" s="1">
        <v>33543</v>
      </c>
      <c r="T22" s="2">
        <v>7</v>
      </c>
      <c r="U22" s="27">
        <f t="shared" si="3"/>
        <v>6.9348019731267678</v>
      </c>
    </row>
    <row r="23" spans="1:21" x14ac:dyDescent="0.3">
      <c r="A23" s="18">
        <f t="shared" si="1"/>
        <v>18</v>
      </c>
      <c r="B23" s="18">
        <v>-0.38261919501707686</v>
      </c>
      <c r="C23" s="18">
        <v>0.45139965382667691</v>
      </c>
      <c r="D23" s="18">
        <f t="shared" si="2"/>
        <v>2.5619278281849511E-2</v>
      </c>
      <c r="F23" s="12">
        <f t="shared" si="6"/>
        <v>19</v>
      </c>
      <c r="G23" s="12">
        <v>2.44131273447581E-2</v>
      </c>
      <c r="H23" s="12">
        <v>2.4252080980813401E-2</v>
      </c>
      <c r="L23" s="19">
        <f t="shared" si="5"/>
        <v>18</v>
      </c>
      <c r="M23" s="6">
        <f t="shared" si="0"/>
        <v>2.5619278281849511E-2</v>
      </c>
      <c r="N23" s="6">
        <f>G$5*N22+G$6*N21+G$7*N20+G$8*N19+G$9*N18+G$10*N17+G$11*N16+G$12*N15+G$13*N14+G$14*N13+G$15*N12+G$16*N11+G$17*N10+G$18*N9+G$19*N8+G$20*N7+G$21*N6+G$22*N5+H$5*M22+H$6*M21+H$7*M20+H$8*M19+H$9*M18+H$10*M17+H$11*M16+H$12*M15+H$13*M14+H$14*M13+H$15*M12+H$16*M11+H$17*M10+H$18*M9+H$19*M8+H$20*M7+H$21*M6+H$22*M5</f>
        <v>8.6006045962393876E-2</v>
      </c>
      <c r="R23" s="24">
        <f t="shared" si="4"/>
        <v>17</v>
      </c>
      <c r="S23" s="1">
        <v>33573</v>
      </c>
      <c r="T23" s="2">
        <v>7.3</v>
      </c>
      <c r="U23" s="27">
        <f t="shared" si="3"/>
        <v>7.2517084415070494</v>
      </c>
    </row>
    <row r="24" spans="1:21" x14ac:dyDescent="0.3">
      <c r="A24" s="18">
        <f t="shared" si="1"/>
        <v>19</v>
      </c>
      <c r="B24" s="18">
        <v>-1.0021727302419847</v>
      </c>
      <c r="C24" s="18">
        <v>0.50925639606933648</v>
      </c>
      <c r="D24" s="18">
        <f t="shared" si="2"/>
        <v>0.67741027746756743</v>
      </c>
      <c r="F24" s="12">
        <f t="shared" si="6"/>
        <v>20</v>
      </c>
      <c r="G24" s="12">
        <v>-5.7319371233362303E-2</v>
      </c>
      <c r="H24" s="12">
        <v>3.2762188897438503E-2</v>
      </c>
      <c r="L24" s="19">
        <f t="shared" si="5"/>
        <v>19</v>
      </c>
      <c r="M24" s="6">
        <f t="shared" si="0"/>
        <v>0.67741027746756743</v>
      </c>
      <c r="N24" s="6">
        <f>G$5*N23+G$6*N22+G$7*N21+G$8*N20+G$9*N19+G$10*N18+G$11*N17+G$12*N16+G$13*N15+G$14*N14+G$15*N13+G$16*N12+G$17*N11+G$18*N10+G$19*N9+G$20*N8+G$21*N7+G$22*N6+G$23*N5+H$5*M23+H$6*M22+H$7*M21+H$8*M20+H$9*M19+H$10*M18+H$11*M17+H$12*M16+H$13*M15+H$14*M14+H$15*M13+H$16*M12+H$17*M11+H$18*M10+H$19*M9+H$20*M8+H$21*M7+H$22*M6+H$23*M5</f>
        <v>8.9539377944896151E-2</v>
      </c>
      <c r="R24" s="24">
        <f t="shared" si="4"/>
        <v>18</v>
      </c>
      <c r="S24" s="1">
        <v>33604</v>
      </c>
      <c r="T24" s="2">
        <v>7.3</v>
      </c>
      <c r="U24" s="27">
        <f t="shared" si="3"/>
        <v>7.2139939540376057</v>
      </c>
    </row>
    <row r="25" spans="1:21" x14ac:dyDescent="0.3">
      <c r="A25" s="18">
        <f t="shared" si="1"/>
        <v>20</v>
      </c>
      <c r="B25" s="18">
        <v>-0.94863592770245708</v>
      </c>
      <c r="C25" s="18">
        <v>0.4562758832661995</v>
      </c>
      <c r="D25" s="18">
        <f t="shared" si="2"/>
        <v>-0.10651731534266462</v>
      </c>
      <c r="F25" s="12">
        <f t="shared" si="6"/>
        <v>21</v>
      </c>
      <c r="G25" s="12">
        <v>4.3042009740897599E-2</v>
      </c>
      <c r="H25" s="12">
        <v>-3.1267653525346301E-2</v>
      </c>
      <c r="L25" s="19">
        <f t="shared" si="5"/>
        <v>20</v>
      </c>
      <c r="M25" s="6">
        <f t="shared" si="0"/>
        <v>-0.10651731534266462</v>
      </c>
      <c r="N25" s="6">
        <f>G$5*N24+G$6*N23+G$7*N22+G$8*N21+G$9*N20+G$10*N19+G$11*N18+G$12*N17+G$13*N16+G$14*N15+G$15*N14+G$16*N13+G$17*N12+G$18*N11+G$19*N10+G$20*N9+G$21*N8+G$22*N7+G$23*N6+G$24*N5+H$5*M24+H$6*M23+H$7*M22+H$8*M21+H$9*M20+H$10*M19+H$11*M18+H$12*M17+H$13*M16+H$14*M15+H$15*M14+H$16*M13+H$17*M12+H$18*M11+H$19*M10+H$20*M9+H$21*M8+H$22*M7+H$23*M6+H$24*M5</f>
        <v>9.2439728046945085E-2</v>
      </c>
      <c r="R25" s="24">
        <f t="shared" si="4"/>
        <v>19</v>
      </c>
      <c r="S25" s="1">
        <v>33635</v>
      </c>
      <c r="T25" s="2">
        <v>7.4</v>
      </c>
      <c r="U25" s="27">
        <f t="shared" si="3"/>
        <v>7.3104606220551043</v>
      </c>
    </row>
    <row r="26" spans="1:21" x14ac:dyDescent="0.3">
      <c r="A26" s="18">
        <f t="shared" si="1"/>
        <v>21</v>
      </c>
      <c r="B26" s="18">
        <v>-1.0035682401966717</v>
      </c>
      <c r="C26" s="18">
        <v>0.4562758832661995</v>
      </c>
      <c r="D26" s="18">
        <f t="shared" si="2"/>
        <v>5.4932312494214597E-2</v>
      </c>
      <c r="F26" s="12">
        <f t="shared" si="6"/>
        <v>22</v>
      </c>
      <c r="G26" s="12">
        <v>-1.01988938661373E-2</v>
      </c>
      <c r="H26" s="12">
        <v>4.6005498801310503E-2</v>
      </c>
      <c r="L26" s="19">
        <f t="shared" si="5"/>
        <v>21</v>
      </c>
      <c r="M26" s="6">
        <f t="shared" si="0"/>
        <v>5.4932312494214597E-2</v>
      </c>
      <c r="N26" s="6">
        <f>G$5*N25+G$6*N24+G$7*N23+G$8*N22+G$9*N21+G$10*N20+G$11*N19+G$12*N18+G$13*N17+G$14*N16+G$15*N15+G$16*N14+G$17*N13+G$18*N12+G$19*N11+G$20*N10+G$21*N9+G$22*N8+G$23*N7+G$24*N6+G$25*N5+H$5*M25+H$6*M24+H$7*M23+H$8*M22+H$9*M21+H$10*M20+H$11*M19+H$12*M18+H$13*M17+H$14*M16+H$15*M15+H$16*M14+H$17*M13+H$18*M12+H$19*M11+H$20*M10+H$21*M9+H$22*M8+H$23*M7+H$24*M6+H$25*M5</f>
        <v>0.12236700895512807</v>
      </c>
      <c r="R26" s="24">
        <f t="shared" si="4"/>
        <v>20</v>
      </c>
      <c r="S26" s="1">
        <v>33664</v>
      </c>
      <c r="T26" s="2">
        <v>7.4</v>
      </c>
      <c r="U26" s="27">
        <f t="shared" si="3"/>
        <v>7.3075602719530552</v>
      </c>
    </row>
    <row r="27" spans="1:21" x14ac:dyDescent="0.3">
      <c r="A27" s="18">
        <f t="shared" si="1"/>
        <v>22</v>
      </c>
      <c r="B27" s="18">
        <v>-1.1497362286477699</v>
      </c>
      <c r="C27" s="18">
        <v>0.61721415334278351</v>
      </c>
      <c r="D27" s="18">
        <f t="shared" si="2"/>
        <v>0.30710625852768225</v>
      </c>
      <c r="F27" s="12">
        <f t="shared" si="6"/>
        <v>23</v>
      </c>
      <c r="G27" s="12">
        <v>2.8621138864871699E-2</v>
      </c>
      <c r="H27" s="12">
        <v>4.05654399137911E-2</v>
      </c>
      <c r="L27" s="19">
        <f t="shared" si="5"/>
        <v>22</v>
      </c>
      <c r="M27" s="6">
        <f t="shared" si="0"/>
        <v>0.30710625852768225</v>
      </c>
      <c r="N27" s="6">
        <f>G$5*N26+G$6*N25+G$7*N24+G$8*N23+G$9*N22+G$10*N21+G$11*N20+G$12*N19+G$13*N18+G$14*N17+G$15*N16+G$16*N15+G$17*N14+G$18*N13+G$19*N12+G$20*N11+G$21*N10+G$22*N9+G$23*N8+G$24*N7+G$25*N6+G$26*N5+H$5*M26+H$6*M25+H$7*M24+H$8*M23+H$9*M22+H$10*M21+H$11*M20+H$12*M19+H$13*M18+H$14*M17+H$15*M16+H$16*M15+H$17*M14+H$18*M13+H$19*M12+H$20*M11+H$21*M10+H$22*M9+H$23*M8+H$24*M7+H$25*M6+H$26*M5</f>
        <v>0.1256268109243231</v>
      </c>
      <c r="R27" s="24">
        <f t="shared" si="4"/>
        <v>21</v>
      </c>
      <c r="S27" s="1">
        <v>33695</v>
      </c>
      <c r="T27" s="2">
        <v>7.4</v>
      </c>
      <c r="U27" s="27">
        <f t="shared" si="3"/>
        <v>7.2776329910448725</v>
      </c>
    </row>
    <row r="28" spans="1:21" x14ac:dyDescent="0.3">
      <c r="A28" s="18">
        <f t="shared" si="1"/>
        <v>23</v>
      </c>
      <c r="B28" s="18">
        <v>-1.3310847360959319</v>
      </c>
      <c r="C28" s="18">
        <v>0.61721415334278351</v>
      </c>
      <c r="D28" s="18">
        <f t="shared" si="2"/>
        <v>0.181348507448162</v>
      </c>
      <c r="F28" s="12">
        <f t="shared" si="6"/>
        <v>24</v>
      </c>
      <c r="G28" s="12">
        <v>-5.5855041824478001E-2</v>
      </c>
      <c r="H28" s="12">
        <v>4.2776729900653503E-2</v>
      </c>
      <c r="L28" s="19">
        <f t="shared" si="5"/>
        <v>23</v>
      </c>
      <c r="M28" s="6">
        <f t="shared" si="0"/>
        <v>0.181348507448162</v>
      </c>
      <c r="N28" s="6">
        <f>G$5*N27+G$6*N26+G$7*N25+G$8*N24+G$9*N23+G$10*N22+G$11*N21+G$12*N20+G$13*N19+G$14*N18+G$15*N17+G$16*N16+G$17*N15+G$18*N14+G$19*N13+G$20*N12+G$21*N11+G$22*N10+G$23*N9+G$24*N8+G$25*N7+G$26*N6+G$27*N5+H$5*M27+H$6*M26+H$7*M25+H$8*M24+H$9*M23+H$10*M22+H$11*M21+H$12*M20+H$13*M19+H$14*M18+H$15*M17+H$16*M16+H$17*M15+H$18*M14+H$19*M13+H$20*M12+H$21*M11+H$22*M10+H$23*M9+H$24*M8+H$25*M7+H$26*M6+H$27*M5</f>
        <v>0.17118177505470994</v>
      </c>
      <c r="R28" s="24">
        <f t="shared" si="4"/>
        <v>22</v>
      </c>
      <c r="S28" s="1">
        <v>33725</v>
      </c>
      <c r="T28" s="2">
        <v>7.6</v>
      </c>
      <c r="U28" s="27">
        <f t="shared" si="3"/>
        <v>7.4743731890756768</v>
      </c>
    </row>
    <row r="29" spans="1:21" x14ac:dyDescent="0.3">
      <c r="A29" s="18">
        <f t="shared" si="1"/>
        <v>24</v>
      </c>
      <c r="B29" s="18">
        <v>-1.7255592774870996</v>
      </c>
      <c r="C29" s="18">
        <v>0.57679310954965013</v>
      </c>
      <c r="D29" s="18">
        <f t="shared" si="2"/>
        <v>0.35405349759803428</v>
      </c>
      <c r="F29" s="12">
        <f t="shared" si="6"/>
        <v>25</v>
      </c>
      <c r="H29" s="12">
        <v>3.7082383633426003E-2</v>
      </c>
      <c r="L29" s="19">
        <f t="shared" si="5"/>
        <v>24</v>
      </c>
      <c r="M29" s="6">
        <f t="shared" si="0"/>
        <v>0.35405349759803428</v>
      </c>
      <c r="N29" s="6">
        <f>G$5*N28+G$6*N27+G$7*N26+G$8*N25+G$9*N24+G$10*N23+G$11*N22+G$12*N21+G$13*N20+G$14*N19+G$15*N18+G$16*N17+G$17*N16+G$18*N15+G$19*N14+G$20*N13+G$21*N12+G$22*N11+G$23*N10+G$24*N9+G$25*N8+G$26*N7+G$27*N6+G$28*N5+H$5*M28+H$6*M27+H$7*M26+H$8*M25+H$9*M24+H$10*M23+H$11*M22+H$12*M21+H$13*M20+H$14*M19+H$15*M18+H$16*M17+H$17*M16+H$18*M15+H$19*M14+H$20*M13+H$21*M12+H$22*M11+H$23*M10+H$24*M9+H$25*M8+H$26*M7+H$27*M6+H$28*M5</f>
        <v>0.19640417473411645</v>
      </c>
      <c r="R29" s="24">
        <f t="shared" si="4"/>
        <v>23</v>
      </c>
      <c r="S29" s="1">
        <v>33756</v>
      </c>
      <c r="T29" s="2">
        <v>7.8</v>
      </c>
      <c r="U29" s="27">
        <f t="shared" si="3"/>
        <v>7.6288182249452898</v>
      </c>
    </row>
    <row r="30" spans="1:21" x14ac:dyDescent="0.3">
      <c r="A30" s="18">
        <f t="shared" si="1"/>
        <v>25</v>
      </c>
      <c r="B30" s="18">
        <v>-1.8250158212836534</v>
      </c>
      <c r="C30" s="18">
        <v>0.59811046211856067</v>
      </c>
      <c r="D30" s="18">
        <f t="shared" si="2"/>
        <v>0.12077389636546432</v>
      </c>
      <c r="F30" s="12">
        <f t="shared" si="6"/>
        <v>26</v>
      </c>
      <c r="H30" s="12">
        <v>-3.9905718272175698E-2</v>
      </c>
      <c r="L30" s="19">
        <f t="shared" si="5"/>
        <v>25</v>
      </c>
      <c r="M30" s="6">
        <f t="shared" si="0"/>
        <v>0.12077389636546432</v>
      </c>
      <c r="N30" s="6">
        <f>G$5*N29+G$6*N28+G$7*N27+G$8*N26+G$9*N25+G$10*N24+G$11*N23+G$12*N22+G$13*N21+G$14*N20+G$15*N19+G$16*N18+G$17*N17+G$18*N16+G$19*N15+G$20*N14+G$21*N13+G$22*N12+G$23*N11+G$24*N10+G$25*N9+G$26*N8+G$27*N7+G$28*N6+G$29*N5+H$5*M29+H$6*M28+H$7*M27+H$8*M26+H$9*M25+H$10*M24+H$11*M23+H$12*M22+H$13*M21+H$14*M20+H$15*M19+H$16*M18+H$17*M17+H$18*M16+H$19*M15+H$20*M14+H$21*M13+H$22*M12+H$23*M11+H$24*M10+H$25*M9+H$26*M8+H$27*M7+H$28*M6+H$29*M5</f>
        <v>0.23483467967247243</v>
      </c>
      <c r="R30" s="24">
        <f t="shared" si="4"/>
        <v>24</v>
      </c>
      <c r="S30" s="1">
        <v>33786</v>
      </c>
      <c r="T30" s="2">
        <v>7.7</v>
      </c>
      <c r="U30" s="27">
        <f t="shared" si="3"/>
        <v>7.5035958252658839</v>
      </c>
    </row>
    <row r="31" spans="1:21" x14ac:dyDescent="0.3">
      <c r="A31" s="18">
        <f t="shared" si="1"/>
        <v>26</v>
      </c>
      <c r="B31" s="18">
        <v>-1.8881397543094716</v>
      </c>
      <c r="C31" s="18">
        <v>0.59811046211856067</v>
      </c>
      <c r="D31" s="18">
        <f t="shared" si="2"/>
        <v>6.3123933025818202E-2</v>
      </c>
      <c r="F31" s="12">
        <f t="shared" si="6"/>
        <v>27</v>
      </c>
      <c r="H31" s="12">
        <v>4.9088911583572998E-3</v>
      </c>
      <c r="L31" s="19">
        <f t="shared" si="5"/>
        <v>26</v>
      </c>
      <c r="M31" s="6">
        <f t="shared" si="0"/>
        <v>6.3123933025818202E-2</v>
      </c>
      <c r="N31" s="6">
        <f>G$5*N30+G$6*N29+G$7*N28+G$8*N27+G$9*N26+G$10*N25+G$11*N24+G$12*N23+G$13*N22+G$14*N21+G$15*N20+G$16*N19+G$17*N18+G$18*N17+G$19*N16+G$20*N15+G$21*N14+G$22*N13+G$23*N12+G$24*N11+G$25*N10+G$26*N9+G$27*N8+G$28*N7+G$29*N6+G$30*N5+H$5*M30+H$6*M29+H$7*M28+H$8*M27+H$9*M26+H$10*M25+H$11*M24+H$12*M23+H$13*M22+H$14*M21+H$15*M20+H$16*M19+H$17*M18+H$18*M17+H$19*M16+H$20*M15+H$21*M14+H$22*M13+H$23*M12+H$24*M11+H$25*M10+H$26*M9+H$27*M8+H$28*M7+H$29*M6+H$30*M5</f>
        <v>0.27076911183863805</v>
      </c>
      <c r="R31" s="24">
        <f t="shared" si="4"/>
        <v>25</v>
      </c>
      <c r="S31" s="1">
        <v>33817</v>
      </c>
      <c r="T31" s="2">
        <v>7.6</v>
      </c>
      <c r="U31" s="27">
        <f t="shared" si="3"/>
        <v>7.3651653203275274</v>
      </c>
    </row>
    <row r="32" spans="1:21" x14ac:dyDescent="0.3">
      <c r="A32" s="18">
        <f t="shared" si="1"/>
        <v>27</v>
      </c>
      <c r="B32" s="18">
        <v>-1.8964142361730001</v>
      </c>
      <c r="C32" s="18">
        <v>0.49345953194123365</v>
      </c>
      <c r="D32" s="18">
        <f t="shared" si="2"/>
        <v>-9.6376448313798491E-2</v>
      </c>
      <c r="F32" s="12">
        <f t="shared" si="6"/>
        <v>28</v>
      </c>
      <c r="H32" s="12">
        <v>1.3975411502221599E-2</v>
      </c>
      <c r="L32" s="19">
        <f t="shared" si="5"/>
        <v>27</v>
      </c>
      <c r="M32" s="6">
        <f t="shared" si="0"/>
        <v>-9.6376448313798491E-2</v>
      </c>
      <c r="N32" s="6">
        <f>G$5*N31+G$6*N30+G$7*N29+G$8*N28+G$9*N27+G$10*N26+G$11*N25+G$12*N24+G$13*N23+G$14*N22+G$15*N21+G$16*N20+G$17*N19+G$18*N18+G$19*N17+G$20*N16+G$21*N15+G$22*N14+G$23*N13+G$24*N12+G$25*N11+G$26*N10+G$27*N9+G$28*N8+G$29*N7+G$30*N6+G$31*N5+H$5*M31+H$6*M30+H$7*M29+H$8*M28+H$9*M27+H$10*M26+H$11*M25+H$12*M24+H$13*M23+H$14*M22+H$15*M21+H$16*M20+H$17*M19+H$18*M18+H$19*M17+H$20*M16+H$21*M15+H$22*M14+H$23*M13+H$24*M12+H$25*M11+H$26*M10+H$27*M9+H$28*M8+H$29*M7+H$30*M6+H$31*M5</f>
        <v>0.25375394924456135</v>
      </c>
      <c r="R32" s="24">
        <f t="shared" si="4"/>
        <v>26</v>
      </c>
      <c r="S32" s="1">
        <v>33848</v>
      </c>
      <c r="T32" s="2">
        <v>7.6</v>
      </c>
      <c r="U32" s="27">
        <f t="shared" si="3"/>
        <v>7.3292308881613613</v>
      </c>
    </row>
    <row r="33" spans="1:21" x14ac:dyDescent="0.3">
      <c r="A33" s="18">
        <f t="shared" si="1"/>
        <v>28</v>
      </c>
      <c r="B33" s="18">
        <v>-2.0878114605761344</v>
      </c>
      <c r="C33" s="18">
        <v>0.52459800481345931</v>
      </c>
      <c r="D33" s="18">
        <f t="shared" si="2"/>
        <v>0.22253569727535999</v>
      </c>
      <c r="F33" s="12">
        <f t="shared" si="6"/>
        <v>29</v>
      </c>
      <c r="H33" s="12">
        <v>-3.24018436557564E-2</v>
      </c>
      <c r="L33" s="19">
        <f t="shared" si="5"/>
        <v>28</v>
      </c>
      <c r="M33" s="6">
        <f t="shared" si="0"/>
        <v>0.22253569727535999</v>
      </c>
      <c r="N33" s="6">
        <f>G$5*N32+G$6*N31+G$7*N30+G$8*N29+G$9*N28+G$10*N27+G$11*N26+G$12*N25+G$13*N24+G$14*N23+G$15*N22+G$16*N21+G$17*N20+G$18*N19+G$19*N18+G$20*N17+G$21*N16+G$22*N15+G$23*N14+G$24*N13+G$25*N12+G$26*N11+G$27*N10+G$28*N9+G$29*N8+G$30*N7+G$31*N6+G$32*N5+H$5*M32+H$6*M31+H$7*M30+H$8*M29+H$9*M28+H$10*M27+H$11*M26+H$12*M25+H$13*M24+H$14*M23+H$15*M22+H$16*M21+H$17*M20+H$18*M19+H$19*M18+H$20*M17+H$21*M16+H$22*M15+H$23*M14+H$24*M13+H$25*M12+H$26*M11+H$27*M10+H$28*M9+H$29*M8+H$30*M7+H$31*M6+H$32*M5</f>
        <v>0.31603387067290001</v>
      </c>
      <c r="R33" s="24">
        <f t="shared" si="4"/>
        <v>27</v>
      </c>
      <c r="S33" s="1">
        <v>33878</v>
      </c>
      <c r="T33" s="2">
        <v>7.3</v>
      </c>
      <c r="U33" s="27">
        <f t="shared" si="3"/>
        <v>7.0462460507554381</v>
      </c>
    </row>
    <row r="34" spans="1:21" x14ac:dyDescent="0.3">
      <c r="A34" s="18">
        <f t="shared" si="1"/>
        <v>29</v>
      </c>
      <c r="B34" s="18">
        <v>-2.0303631371743482</v>
      </c>
      <c r="C34" s="18">
        <v>0.3435032859235303</v>
      </c>
      <c r="D34" s="18">
        <f t="shared" si="2"/>
        <v>-0.23854304229171519</v>
      </c>
      <c r="F34" s="12">
        <f t="shared" si="6"/>
        <v>30</v>
      </c>
      <c r="H34" s="12">
        <v>-6.9400938591176006E-2</v>
      </c>
      <c r="L34" s="19">
        <f t="shared" si="5"/>
        <v>29</v>
      </c>
      <c r="M34" s="6">
        <f t="shared" si="0"/>
        <v>-0.23854304229171519</v>
      </c>
      <c r="N34" s="6">
        <f>G$5*N33+G$6*N32+G$7*N31+G$8*N30+G$9*N29+G$10*N28+G$11*N27+G$12*N26+G$13*N25+G$14*N24+G$15*N23+G$16*N22+G$17*N21+G$18*N20+G$19*N19+G$20*N18+G$21*N17+G$22*N16+G$23*N15+G$24*N14+G$25*N13+G$26*N12+G$27*N11+G$28*N10+G$29*N9+G$30*N8+G$31*N7+G$32*N6+G$33*N5+H$5*M33+H$6*M32+H$7*M31+H$8*M30+H$9*M29+H$10*M28+H$11*M27+H$12*M26+H$13*M25+H$14*M24+H$15*M23+H$16*M22+H$17*M21+H$18*M20+H$19*M19+H$20*M18+H$21*M17+H$22*M16+H$23*M15+H$24*M14+H$25*M13+H$26*M12+H$27*M11+H$28*M10+H$29*M9+H$30*M8+H$31*M7+H$32*M6+H$33*M5</f>
        <v>0.33249441177334804</v>
      </c>
      <c r="R34" s="24">
        <f t="shared" si="4"/>
        <v>28</v>
      </c>
      <c r="S34" s="1">
        <v>33909</v>
      </c>
      <c r="T34" s="2">
        <v>7.4</v>
      </c>
      <c r="U34" s="27">
        <f t="shared" si="3"/>
        <v>7.0839661293271003</v>
      </c>
    </row>
    <row r="35" spans="1:21" x14ac:dyDescent="0.3">
      <c r="A35" s="18">
        <f t="shared" si="1"/>
        <v>30</v>
      </c>
      <c r="B35" s="18">
        <v>-2.0795543484615879</v>
      </c>
      <c r="C35" s="18">
        <v>0.3435032859235303</v>
      </c>
      <c r="D35" s="18">
        <f t="shared" si="2"/>
        <v>4.9191211287239689E-2</v>
      </c>
      <c r="F35" s="12">
        <f t="shared" si="6"/>
        <v>31</v>
      </c>
      <c r="H35" s="12">
        <v>1.26693791869104E-2</v>
      </c>
      <c r="L35" s="19">
        <f t="shared" si="5"/>
        <v>30</v>
      </c>
      <c r="M35" s="6">
        <f t="shared" si="0"/>
        <v>4.9191211287239689E-2</v>
      </c>
      <c r="N35" s="6">
        <f>G$5*N34+G$6*N33+G$7*N32+G$8*N31+G$9*N30+G$10*N29+G$11*N28+G$12*N27+G$13*N26+G$14*N25+G$15*N24+G$16*N23+G$17*N22+G$18*N21+G$19*N20+G$20*N19+G$21*N18+G$22*N17+G$23*N16+G$24*N15+G$25*N14+G$26*N13+G$27*N12+G$28*N11+G$29*N10+G$30*N9+G$31*N8+G$32*N7+G$33*N6+G$34*N5+H$5*M34+H$6*M33+H$7*M32+H$8*M31+H$9*M30+H$10*M29+H$11*M28+H$12*M27+H$13*M26+H$14*M25+H$15*M24+H$16*M23+H$17*M22+H$18*M21+H$19*M20+H$20*M19+H$21*M18+H$22*M17+H$23*M16+H$24*M15+H$25*M14+H$26*M13+H$27*M12+H$28*M11+H$29*M10+H$30*M9+H$31*M8+H$32*M7+H$33*M6+H$34*M5</f>
        <v>0.37572567582962635</v>
      </c>
      <c r="R35" s="24">
        <f t="shared" si="4"/>
        <v>29</v>
      </c>
      <c r="S35" s="1">
        <v>33939</v>
      </c>
      <c r="T35" s="2">
        <v>7.4</v>
      </c>
      <c r="U35" s="27">
        <f t="shared" si="3"/>
        <v>7.067505588226652</v>
      </c>
    </row>
    <row r="36" spans="1:21" x14ac:dyDescent="0.3">
      <c r="A36" s="18">
        <f t="shared" si="1"/>
        <v>31</v>
      </c>
      <c r="B36" s="18">
        <v>-2.0896280806903724</v>
      </c>
      <c r="C36" s="18">
        <v>0.45238491745450632</v>
      </c>
      <c r="D36" s="18">
        <f t="shared" si="2"/>
        <v>0.11895536375976051</v>
      </c>
      <c r="F36" s="12">
        <f t="shared" si="6"/>
        <v>32</v>
      </c>
      <c r="H36" s="12">
        <v>-1.69747111313319E-2</v>
      </c>
      <c r="L36" s="19">
        <f t="shared" si="5"/>
        <v>31</v>
      </c>
      <c r="M36" s="6">
        <f t="shared" si="0"/>
        <v>0.11895536375976051</v>
      </c>
      <c r="N36" s="6">
        <f>G$5*N35+G$6*N34+G$7*N33+G$8*N32+G$9*N31+G$10*N30+G$11*N29+G$12*N28+G$13*N27+G$14*N26+G$15*N25+G$16*N24+G$17*N23+G$18*N22+G$19*N21+G$20*N20+G$21*N19+G$22*N18+G$23*N17+G$24*N16+G$25*N15+G$26*N14+G$27*N13+G$28*N12+G$29*N11+G$30*N10+G$31*N9+G$32*N8+G$33*N7+G$34*N6+G$35*N5+H$5*M35+H$6*M34+H$7*M33+H$8*M32+H$9*M31+H$10*M30+H$11*M29+H$12*M28+H$13*M27+H$14*M26+H$15*M25+H$16*M24+H$17*M23+H$18*M22+H$19*M21+H$20*M20+H$21*M19+H$22*M18+H$23*M17+H$24*M16+H$25*M15+H$26*M14+H$27*M13+H$28*M12+H$29*M11+H$30*M10+H$31*M9+H$32*M8+H$33*M7+H$34*M6+H$35*M5</f>
        <v>0.46658581729034487</v>
      </c>
      <c r="R36" s="24">
        <f t="shared" si="4"/>
        <v>30</v>
      </c>
      <c r="S36" s="1">
        <v>33970</v>
      </c>
      <c r="T36" s="2">
        <v>7.3</v>
      </c>
      <c r="U36" s="27">
        <f t="shared" si="3"/>
        <v>6.9242743241703737</v>
      </c>
    </row>
    <row r="37" spans="1:21" x14ac:dyDescent="0.3">
      <c r="A37" s="18">
        <f t="shared" si="1"/>
        <v>32</v>
      </c>
      <c r="B37" s="18">
        <v>-2.1658579291609228</v>
      </c>
      <c r="C37" s="18">
        <v>0.41868142629182964</v>
      </c>
      <c r="D37" s="18">
        <f t="shared" si="2"/>
        <v>4.2526357307873686E-2</v>
      </c>
      <c r="F37" s="12">
        <f t="shared" si="6"/>
        <v>33</v>
      </c>
      <c r="H37" s="12">
        <v>-2.93349814397918E-2</v>
      </c>
      <c r="L37" s="19">
        <f t="shared" si="5"/>
        <v>32</v>
      </c>
      <c r="M37" s="6">
        <f t="shared" si="0"/>
        <v>4.2526357307873686E-2</v>
      </c>
      <c r="N37" s="6">
        <f>G$5*N36+G$6*N35+G$7*N34+G$8*N33+G$9*N32+G$10*N31+G$11*N30+G$12*N29+G$13*N28+G$14*N27+G$15*N26+G$16*N25+G$17*N24+G$18*N23+G$19*N22+G$20*N21+G$21*N20+G$22*N19+G$23*N18+G$24*N17+G$25*N16+G$26*N15+G$27*N14+G$28*N13+G$29*N12+G$30*N11+G$31*N10+G$32*N9+G$33*N8+G$34*N7+G$35*N6+G$36*N5+H$5*M36+H$6*M35+H$7*M34+H$8*M33+H$9*M32+H$10*M31+H$11*M30+H$12*M29+H$13*M28+H$14*M27+H$15*M26+H$16*M25+H$17*M24+H$18*M23+H$19*M22+H$20*M21+H$21*M20+H$22*M19+H$23*M18+H$24*M17+H$25*M16+H$26*M15+H$27*M14+H$28*M13+H$29*M12+H$30*M11+H$31*M10+H$32*M9+H$33*M8+H$34*M7+H$35*M6+H$36*M5</f>
        <v>0.44290156801528247</v>
      </c>
      <c r="R37" s="24">
        <f t="shared" si="4"/>
        <v>31</v>
      </c>
      <c r="S37" s="1">
        <v>34001</v>
      </c>
      <c r="T37" s="2">
        <v>7.1</v>
      </c>
      <c r="U37" s="27">
        <f t="shared" si="3"/>
        <v>6.6334141827096547</v>
      </c>
    </row>
    <row r="38" spans="1:21" x14ac:dyDescent="0.3">
      <c r="A38" s="18">
        <f t="shared" si="1"/>
        <v>33</v>
      </c>
      <c r="B38" s="18">
        <v>-2.1833271011040618</v>
      </c>
      <c r="C38" s="18">
        <v>0.41868142629182964</v>
      </c>
      <c r="D38" s="18">
        <f t="shared" si="2"/>
        <v>1.7469171943139017E-2</v>
      </c>
      <c r="F38" s="12">
        <f t="shared" si="6"/>
        <v>34</v>
      </c>
      <c r="H38" s="12">
        <v>-2.67578960021152E-2</v>
      </c>
      <c r="L38" s="19">
        <f t="shared" si="5"/>
        <v>33</v>
      </c>
      <c r="M38" s="6">
        <f t="shared" si="0"/>
        <v>1.7469171943139017E-2</v>
      </c>
      <c r="N38" s="6">
        <f>G$5*N37+G$6*N36+G$7*N35+G$8*N34+G$9*N33+G$10*N32+G$11*N31+G$12*N30+G$13*N29+G$14*N28+G$15*N27+G$16*N26+G$17*N25+G$18*N24+G$19*N23+G$20*N22+G$21*N21+G$22*N20+G$23*N19+G$24*N18+G$25*N17+G$26*N16+G$27*N15+G$28*N14+G$29*N13+G$30*N12+G$31*N11+G$32*N10+G$33*N9+G$34*N8+G$35*N7+G$36*N6+G$37*N5+H$5*M37+H$6*M36+H$7*M35+H$8*M34+H$9*M33+H$10*M32+H$11*M31+H$12*M30+H$13*M29+H$14*M28+H$15*M27+H$16*M26+H$17*M25+H$18*M24+H$19*M23+H$20*M22+H$21*M21+H$22*M20+H$23*M19+H$24*M18+H$25*M17+H$26*M16+H$27*M15+H$28*M14+H$29*M13+H$30*M12+H$31*M11+H$32*M10+H$33*M9+H$34*M8+H$35*M7+H$36*M6+H$37*M5</f>
        <v>0.45419451415135348</v>
      </c>
      <c r="R38" s="24">
        <f t="shared" si="4"/>
        <v>32</v>
      </c>
      <c r="S38" s="1">
        <v>34029</v>
      </c>
      <c r="T38" s="2">
        <v>7</v>
      </c>
      <c r="U38" s="27">
        <f t="shared" si="3"/>
        <v>6.5570984319847172</v>
      </c>
    </row>
    <row r="39" spans="1:21" x14ac:dyDescent="0.3">
      <c r="A39" s="18">
        <f t="shared" si="1"/>
        <v>34</v>
      </c>
      <c r="B39" s="18">
        <v>-2.1492522431830037</v>
      </c>
      <c r="C39" s="18">
        <v>0.76516968094733562</v>
      </c>
      <c r="D39" s="18">
        <f t="shared" si="2"/>
        <v>0.31241339673444785</v>
      </c>
      <c r="F39" s="12">
        <f t="shared" si="6"/>
        <v>35</v>
      </c>
      <c r="H39" s="12">
        <v>-4.2647305908455301E-2</v>
      </c>
      <c r="L39" s="19">
        <f t="shared" si="5"/>
        <v>34</v>
      </c>
      <c r="M39" s="6">
        <f t="shared" si="0"/>
        <v>0.31241339673444785</v>
      </c>
      <c r="N39" s="6">
        <f>G$5*N38+G$6*N37+G$7*N36+G$8*N35+G$9*N34+G$10*N33+G$11*N32+G$12*N31+G$13*N30+G$14*N29+G$15*N28+G$16*N27+G$17*N26+G$18*N25+G$19*N24+G$20*N23+G$21*N22+G$22*N21+G$23*N20+G$24*N19+G$25*N18+G$26*N17+G$27*N16+G$28*N15+G$29*N14+G$30*N13+G$31*N12+G$32*N11+G$33*N10+G$34*N9+G$35*N8+G$36*N7+G$37*N6+G$38*N5+H$5*M38+H$6*M37+H$7*M36+H$8*M35+H$9*M34+H$10*M33+H$11*M32+H$12*M31+H$13*M30+H$14*M29+H$15*M28+H$16*M27+H$17*M26+H$18*M25+H$19*M24+H$20*M23+H$21*M22+H$22*M21+H$23*M20+H$24*M19+H$25*M18+H$26*M17+H$27*M16+H$28*M15+H$29*M14+H$30*M13+H$31*M12+H$32*M11+H$33*M10+H$34*M9+H$35*M8+H$36*M7+H$37*M6+H$38*M5</f>
        <v>0.43380255110004906</v>
      </c>
      <c r="R39" s="24">
        <f t="shared" si="4"/>
        <v>33</v>
      </c>
      <c r="S39" s="1">
        <v>34060</v>
      </c>
      <c r="T39" s="2">
        <v>7.1</v>
      </c>
      <c r="U39" s="27">
        <f t="shared" si="3"/>
        <v>6.6458054858486459</v>
      </c>
    </row>
    <row r="40" spans="1:21" x14ac:dyDescent="0.3">
      <c r="A40" s="18">
        <f t="shared" si="1"/>
        <v>35</v>
      </c>
      <c r="B40" s="18">
        <v>-2.1718188263504441</v>
      </c>
      <c r="C40" s="18">
        <v>0.76516968094733562</v>
      </c>
      <c r="D40" s="18">
        <f t="shared" si="2"/>
        <v>2.2566583167440424E-2</v>
      </c>
      <c r="F40" s="12">
        <f t="shared" si="6"/>
        <v>36</v>
      </c>
      <c r="H40" s="12">
        <v>-3.6838996515427803E-2</v>
      </c>
      <c r="L40" s="19">
        <f t="shared" si="5"/>
        <v>35</v>
      </c>
      <c r="M40" s="6">
        <f t="shared" si="0"/>
        <v>2.2566583167440424E-2</v>
      </c>
      <c r="N40" s="6">
        <f>G$5*N39+G$6*N38+G$7*N37+G$8*N36+G$9*N35+G$10*N34+G$11*N33+G$12*N32+G$13*N31+G$14*N30+G$15*N29+G$16*N28+G$17*N27+G$18*N26+G$19*N25+G$20*N24+G$21*N23+G$22*N22+G$23*N21+G$24*N20+G$25*N19+G$26*N18+G$27*N17+G$28*N16+G$29*N15+G$30*N14+G$31*N13+G$32*N12+G$33*N11+G$34*N10+G$35*N9+G$36*N8+G$37*N7+G$38*N6+G$39*N5+H$5*M39+H$6*M38+H$7*M37+H$8*M36+H$9*M35+H$10*M34+H$11*M33+H$12*M32+H$13*M31+H$14*M30+H$15*M29+H$16*M28+H$17*M27+H$18*M26+H$19*M25+H$20*M24+H$21*M23+H$22*M22+H$23*M21+H$24*M20+H$25*M19+H$26*M18+H$27*M17+H$28*M16+H$29*M15+H$30*M14+H$31*M13+H$32*M12+H$33*M11+H$34*M10+H$35*M9+H$36*M8+H$37*M7+H$38*M6+H$39*M5</f>
        <v>0.4509942061332245</v>
      </c>
      <c r="R40" s="24">
        <f t="shared" si="4"/>
        <v>34</v>
      </c>
      <c r="S40" s="1">
        <v>34090</v>
      </c>
      <c r="T40" s="2">
        <v>7.1</v>
      </c>
      <c r="U40" s="27">
        <f t="shared" si="3"/>
        <v>6.6661974488999505</v>
      </c>
    </row>
    <row r="41" spans="1:21" x14ac:dyDescent="0.3">
      <c r="A41" s="18">
        <f t="shared" si="1"/>
        <v>36</v>
      </c>
      <c r="B41" s="18">
        <v>-2.0734588878906162</v>
      </c>
      <c r="C41" s="18">
        <v>0.81442871523060767</v>
      </c>
      <c r="D41" s="18">
        <f t="shared" si="2"/>
        <v>-4.9100904176555882E-2</v>
      </c>
      <c r="L41" s="19">
        <f t="shared" si="5"/>
        <v>36</v>
      </c>
      <c r="M41" s="6">
        <f t="shared" si="0"/>
        <v>-4.9100904176555882E-2</v>
      </c>
      <c r="N41" s="6">
        <f>G$5*N40+G$6*N39+G$7*N38+G$8*N37+G$9*N36+G$10*N35+G$11*N34+G$12*N33+G$13*N32+G$14*N31+G$15*N30+G$16*N29+G$17*N28+G$18*N27+G$19*N26+G$20*N25+G$21*N24+G$22*N23+G$23*N22+G$24*N21+G$25*N20+G$26*N19+G$27*N18+G$28*N17+G$29*N16+G$30*N15+G$31*N14+G$32*N13+G$33*N12+G$34*N11+G$35*N10+G$36*N9+G$37*N8+G$38*N7+G$39*N6+G$40*N5+H$5*M40+H$6*M39+H$7*M38+H$8*M37+H$9*M36+H$10*M35+H$11*M34+H$12*M33+H$13*M32+H$14*M31+H$15*M30+H$16*M29+H$17*M28+H$18*M27+H$19*M26+H$20*M25+H$21*M24+H$22*M23+H$23*M22+H$24*M21+H$25*M20+H$26*M19+H$27*M18+H$28*M17+H$29*M16+H$30*M15+H$31*M14+H$32*M13+H$33*M12+H$34*M11+H$35*M10+H$36*M9+H$37*M8+H$38*M7+H$39*M6+H$40*M5</f>
        <v>0.49192321813908674</v>
      </c>
      <c r="R41" s="24">
        <f t="shared" si="4"/>
        <v>35</v>
      </c>
      <c r="S41" s="1">
        <v>34121</v>
      </c>
      <c r="T41" s="2">
        <v>7</v>
      </c>
      <c r="U41" s="27">
        <f t="shared" si="3"/>
        <v>6.5490057938667752</v>
      </c>
    </row>
    <row r="42" spans="1:21" x14ac:dyDescent="0.3">
      <c r="A42" s="18">
        <f t="shared" si="1"/>
        <v>37</v>
      </c>
      <c r="B42" s="18">
        <v>-2.0465414423179733</v>
      </c>
      <c r="C42" s="18">
        <v>0.89221655924025711</v>
      </c>
      <c r="D42" s="18">
        <f t="shared" si="2"/>
        <v>5.0870398437006581E-2</v>
      </c>
      <c r="L42" s="19">
        <f t="shared" si="5"/>
        <v>37</v>
      </c>
      <c r="M42" s="6">
        <f t="shared" si="0"/>
        <v>5.0870398437006581E-2</v>
      </c>
      <c r="N42" s="6">
        <f>G$5*N41+G$6*N40+G$7*N39+G$8*N38+G$9*N37+G$10*N36+G$11*N35+G$12*N34+G$13*N33+G$14*N32+G$15*N31+G$16*N30+G$17*N29+G$18*N28+G$19*N27+G$20*N26+G$21*N25+G$22*N24+G$23*N23+G$24*N22+G$25*N21+G$26*N20+G$27*N19+G$28*N18+G$29*N17+G$30*N16+G$31*N15+G$32*N14+G$33*N13+G$34*N12+G$35*N11+G$36*N10+G$37*N9+G$38*N8+G$39*N7+G$40*N6+H$5*M41+H$6*M40+H$7*M39+H$8*M38+H$9*M37+H$10*M36+H$11*M35+H$12*M34+H$13*M33+H$14*M32+H$15*M31+H$16*M30+H$17*M29+H$18*M28+H$19*M27+H$20*M26+H$21*M25+H$22*M24+H$23*M23+H$24*M22+H$25*M21+H$26*M20+H$27*M19+H$28*M18+H$29*M17+H$30*M16+H$31*M15+H$32*M14+H$33*M13+H$34*M12+H$35*M11+H$36*M10+H$37*M9+H$38*M8+H$39*M7+H$40*M6</f>
        <v>0.5352697050782883</v>
      </c>
      <c r="R42" s="24">
        <f t="shared" si="4"/>
        <v>36</v>
      </c>
      <c r="S42" s="1">
        <v>34151</v>
      </c>
      <c r="T42" s="2">
        <v>6.9</v>
      </c>
      <c r="U42" s="27">
        <f t="shared" si="3"/>
        <v>6.4080767818609132</v>
      </c>
    </row>
    <row r="43" spans="1:21" x14ac:dyDescent="0.3">
      <c r="A43" s="18">
        <f t="shared" si="1"/>
        <v>38</v>
      </c>
      <c r="B43" s="18">
        <v>-2.0233271183811961</v>
      </c>
      <c r="C43" s="18">
        <v>1.0849547228033711</v>
      </c>
      <c r="D43" s="18">
        <f t="shared" si="2"/>
        <v>0.16952383962633677</v>
      </c>
      <c r="L43" s="19">
        <f t="shared" si="5"/>
        <v>38</v>
      </c>
      <c r="M43" s="6">
        <f t="shared" si="0"/>
        <v>0.16952383962633677</v>
      </c>
      <c r="N43" s="6">
        <f t="shared" ref="N43:N70" si="7">G$5*N42+G$6*N41+G$7*N40+G$8*N39+G$9*N38+G$10*N37+G$11*N36+G$12*N35+G$13*N34+G$14*N33+G$15*N32+G$16*N31+G$17*N30+G$18*N29+G$19*N28+G$20*N27+G$21*N26+G$22*N25+G$23*N24+G$24*N23+G$25*N22+G$26*N21+G$27*N20+G$28*N19+G$29*N18+G$30*N17+G$31*N16+G$32*N15+G$33*N14+G$34*N13+G$35*N12+G$36*N11+G$37*N10+G$38*N9+G$39*N8+G$40*N7+H$5*M42+H$6*M41+H$7*M40+H$8*M39+H$9*M38+H$10*M37+H$11*M36+H$12*M35+H$13*M34+H$14*M33+H$15*M32+H$16*M31+H$17*M30+H$18*M29+H$19*M28+H$20*M27+H$21*M26+H$22*M25+H$23*M24+H$24*M23+H$25*M22+H$26*M21+H$27*M20+H$28*M19+H$29*M18+H$30*M17+H$31*M16+H$32*M15+H$33*M14+H$34*M13+H$35*M12+H$36*M11+H$37*M10+H$38*M9+H$39*M8+H$40*M7</f>
        <v>0.47951817632862992</v>
      </c>
      <c r="R43" s="24">
        <f t="shared" si="4"/>
        <v>37</v>
      </c>
      <c r="S43" s="1">
        <v>34182</v>
      </c>
      <c r="T43" s="2">
        <v>6.8</v>
      </c>
      <c r="U43" s="27">
        <f t="shared" si="3"/>
        <v>6.2647302949217112</v>
      </c>
    </row>
    <row r="44" spans="1:21" x14ac:dyDescent="0.3">
      <c r="A44" s="18">
        <f t="shared" si="1"/>
        <v>39</v>
      </c>
      <c r="B44" s="18">
        <v>-2.066267013809675</v>
      </c>
      <c r="C44" s="18">
        <v>1.0849547228033711</v>
      </c>
      <c r="D44" s="18">
        <f t="shared" si="2"/>
        <v>4.293989542847898E-2</v>
      </c>
      <c r="L44" s="19">
        <f t="shared" si="5"/>
        <v>39</v>
      </c>
      <c r="M44" s="6">
        <f t="shared" si="0"/>
        <v>4.293989542847898E-2</v>
      </c>
      <c r="N44" s="6">
        <f t="shared" si="7"/>
        <v>0.48308084860010952</v>
      </c>
      <c r="R44" s="24">
        <f t="shared" si="4"/>
        <v>38</v>
      </c>
      <c r="S44" s="1">
        <v>34213</v>
      </c>
      <c r="T44" s="2">
        <v>6.7</v>
      </c>
      <c r="U44" s="27">
        <f t="shared" si="3"/>
        <v>6.2204818236713706</v>
      </c>
    </row>
    <row r="45" spans="1:21" x14ac:dyDescent="0.3">
      <c r="A45" s="18">
        <f t="shared" si="1"/>
        <v>40</v>
      </c>
      <c r="B45" s="18">
        <v>-2.3679768156113794</v>
      </c>
      <c r="C45" s="18">
        <v>1.037806296330539</v>
      </c>
      <c r="D45" s="18">
        <f t="shared" si="2"/>
        <v>0.25456137532887224</v>
      </c>
      <c r="L45" s="19">
        <f t="shared" si="5"/>
        <v>40</v>
      </c>
      <c r="M45" s="6">
        <f t="shared" si="0"/>
        <v>0.25456137532887224</v>
      </c>
      <c r="N45" s="6">
        <f t="shared" si="7"/>
        <v>0.47757664523704102</v>
      </c>
      <c r="R45" s="24">
        <f t="shared" si="4"/>
        <v>39</v>
      </c>
      <c r="S45" s="1">
        <v>34243</v>
      </c>
      <c r="T45" s="2">
        <v>6.8</v>
      </c>
      <c r="U45" s="27">
        <f t="shared" si="3"/>
        <v>6.3169191513998904</v>
      </c>
    </row>
    <row r="46" spans="1:21" x14ac:dyDescent="0.3">
      <c r="A46" s="18">
        <f t="shared" si="1"/>
        <v>41</v>
      </c>
      <c r="B46" s="18">
        <v>-2.3597875573960292</v>
      </c>
      <c r="C46" s="18">
        <v>0.90808811645103604</v>
      </c>
      <c r="D46" s="18">
        <f t="shared" si="2"/>
        <v>-0.13790743809485317</v>
      </c>
      <c r="L46" s="19">
        <f t="shared" si="5"/>
        <v>41</v>
      </c>
      <c r="M46" s="6">
        <f t="shared" si="0"/>
        <v>-0.13790743809485317</v>
      </c>
      <c r="N46" s="6">
        <f t="shared" si="7"/>
        <v>0.50335198102971623</v>
      </c>
      <c r="R46" s="24">
        <f t="shared" si="4"/>
        <v>40</v>
      </c>
      <c r="S46" s="1">
        <v>34274</v>
      </c>
      <c r="T46" s="2">
        <v>6.6</v>
      </c>
      <c r="U46" s="27">
        <f t="shared" si="3"/>
        <v>6.122423354762959</v>
      </c>
    </row>
    <row r="47" spans="1:21" x14ac:dyDescent="0.3">
      <c r="A47" s="18">
        <f t="shared" si="1"/>
        <v>42</v>
      </c>
      <c r="B47" s="18">
        <v>-2.2717829134579115</v>
      </c>
      <c r="C47" s="18">
        <v>0.90808811645103604</v>
      </c>
      <c r="D47" s="18">
        <f t="shared" si="2"/>
        <v>-8.8004643938117688E-2</v>
      </c>
      <c r="L47" s="19">
        <f t="shared" si="5"/>
        <v>42</v>
      </c>
      <c r="M47" s="6">
        <f t="shared" si="0"/>
        <v>-8.8004643938117688E-2</v>
      </c>
      <c r="N47" s="6">
        <f t="shared" si="7"/>
        <v>0.61208068985993824</v>
      </c>
      <c r="R47" s="24">
        <f t="shared" si="4"/>
        <v>41</v>
      </c>
      <c r="S47" s="1">
        <v>34304</v>
      </c>
      <c r="T47" s="2">
        <v>6.5</v>
      </c>
      <c r="U47" s="27">
        <f t="shared" si="3"/>
        <v>5.9966480189702835</v>
      </c>
    </row>
    <row r="48" spans="1:21" x14ac:dyDescent="0.3">
      <c r="A48" s="18">
        <f t="shared" si="1"/>
        <v>43</v>
      </c>
      <c r="B48" s="18">
        <v>-2.3488303039976874</v>
      </c>
      <c r="C48" s="18">
        <v>1.1649001914594259</v>
      </c>
      <c r="D48" s="18">
        <f t="shared" si="2"/>
        <v>0.33385946554816581</v>
      </c>
      <c r="L48" s="19">
        <f t="shared" si="5"/>
        <v>43</v>
      </c>
      <c r="M48" s="6">
        <f t="shared" si="0"/>
        <v>0.33385946554816581</v>
      </c>
      <c r="N48" s="6">
        <f t="shared" si="7"/>
        <v>0.59517064519694307</v>
      </c>
      <c r="R48" s="24">
        <f t="shared" si="4"/>
        <v>42</v>
      </c>
      <c r="S48" s="1">
        <v>34335</v>
      </c>
      <c r="T48" s="2">
        <v>6.6</v>
      </c>
      <c r="U48" s="27">
        <f t="shared" si="3"/>
        <v>5.987919310140061</v>
      </c>
    </row>
    <row r="49" spans="1:21" x14ac:dyDescent="0.3">
      <c r="A49" s="18">
        <f t="shared" si="1"/>
        <v>44</v>
      </c>
      <c r="B49" s="18">
        <v>-2.2895354390069498</v>
      </c>
      <c r="C49" s="18">
        <v>1.5072422761506159</v>
      </c>
      <c r="D49" s="18">
        <f t="shared" si="2"/>
        <v>0.28304721970045232</v>
      </c>
      <c r="L49" s="19">
        <f t="shared" si="5"/>
        <v>44</v>
      </c>
      <c r="M49" s="6">
        <f t="shared" si="0"/>
        <v>0.28304721970045232</v>
      </c>
      <c r="N49" s="6">
        <f t="shared" si="7"/>
        <v>0.64051348381922402</v>
      </c>
      <c r="R49" s="24">
        <f t="shared" si="4"/>
        <v>43</v>
      </c>
      <c r="S49" s="1">
        <v>34366</v>
      </c>
      <c r="T49" s="2">
        <v>6.6</v>
      </c>
      <c r="U49" s="27">
        <f t="shared" si="3"/>
        <v>6.0048293548030562</v>
      </c>
    </row>
    <row r="50" spans="1:21" x14ac:dyDescent="0.3">
      <c r="A50" s="18">
        <f t="shared" si="1"/>
        <v>45</v>
      </c>
      <c r="B50" s="18">
        <v>-2.4916540278461796</v>
      </c>
      <c r="C50" s="18">
        <v>1.5072422761506159</v>
      </c>
      <c r="D50" s="18">
        <f t="shared" si="2"/>
        <v>0.20211858883922984</v>
      </c>
      <c r="L50" s="19">
        <f t="shared" si="5"/>
        <v>45</v>
      </c>
      <c r="M50" s="6">
        <f t="shared" si="0"/>
        <v>0.20211858883922984</v>
      </c>
      <c r="N50" s="6">
        <f t="shared" si="7"/>
        <v>0.66763995941849663</v>
      </c>
      <c r="R50" s="24">
        <f t="shared" si="4"/>
        <v>44</v>
      </c>
      <c r="S50" s="1">
        <v>34394</v>
      </c>
      <c r="T50" s="2">
        <v>6.5</v>
      </c>
      <c r="U50" s="27">
        <f t="shared" si="3"/>
        <v>5.8594865161807759</v>
      </c>
    </row>
    <row r="51" spans="1:21" x14ac:dyDescent="0.3">
      <c r="A51" s="18">
        <f t="shared" si="1"/>
        <v>46</v>
      </c>
      <c r="B51" s="18">
        <v>-2.8069083182513399</v>
      </c>
      <c r="C51" s="18">
        <v>1.841260981284399</v>
      </c>
      <c r="D51" s="18">
        <f t="shared" si="2"/>
        <v>0.64927299553894335</v>
      </c>
      <c r="L51" s="19">
        <f t="shared" si="5"/>
        <v>46</v>
      </c>
      <c r="M51" s="6">
        <f t="shared" si="0"/>
        <v>0.64927299553894335</v>
      </c>
      <c r="N51" s="6">
        <f t="shared" si="7"/>
        <v>0.74474183462942312</v>
      </c>
      <c r="R51" s="24">
        <f t="shared" si="4"/>
        <v>45</v>
      </c>
      <c r="S51" s="1">
        <v>34425</v>
      </c>
      <c r="T51" s="2">
        <v>6.4</v>
      </c>
      <c r="U51" s="27">
        <f t="shared" si="3"/>
        <v>5.7323600405815034</v>
      </c>
    </row>
    <row r="52" spans="1:21" x14ac:dyDescent="0.3">
      <c r="A52" s="18">
        <f t="shared" si="1"/>
        <v>47</v>
      </c>
      <c r="B52" s="18">
        <v>-2.146889095768084</v>
      </c>
      <c r="C52" s="18">
        <v>1.841260981284399</v>
      </c>
      <c r="D52" s="18">
        <f t="shared" si="2"/>
        <v>-0.66001922248325595</v>
      </c>
      <c r="L52" s="19">
        <f t="shared" si="5"/>
        <v>47</v>
      </c>
      <c r="M52" s="6">
        <f t="shared" si="0"/>
        <v>-0.66001922248325595</v>
      </c>
      <c r="N52" s="6">
        <f t="shared" si="7"/>
        <v>0.69652741871175816</v>
      </c>
      <c r="R52" s="24">
        <f t="shared" si="4"/>
        <v>46</v>
      </c>
      <c r="S52" s="1">
        <v>34455</v>
      </c>
      <c r="T52" s="2">
        <v>6.1</v>
      </c>
      <c r="U52" s="27">
        <f t="shared" si="3"/>
        <v>5.3552581653705769</v>
      </c>
    </row>
    <row r="53" spans="1:21" x14ac:dyDescent="0.3">
      <c r="A53" s="18">
        <f t="shared" si="1"/>
        <v>48</v>
      </c>
      <c r="B53" s="18">
        <v>-2.1491821707396594</v>
      </c>
      <c r="C53" s="18">
        <v>1.9250701475436174</v>
      </c>
      <c r="D53" s="18">
        <f t="shared" si="2"/>
        <v>8.6102241230793908E-2</v>
      </c>
      <c r="L53" s="19">
        <f t="shared" si="5"/>
        <v>48</v>
      </c>
      <c r="M53" s="6">
        <f t="shared" si="0"/>
        <v>8.6102241230793908E-2</v>
      </c>
      <c r="N53" s="6">
        <f t="shared" si="7"/>
        <v>0.75772882851379342</v>
      </c>
      <c r="R53" s="24">
        <f t="shared" si="4"/>
        <v>47</v>
      </c>
      <c r="S53" s="1">
        <v>34486</v>
      </c>
      <c r="T53" s="2">
        <v>6.1</v>
      </c>
      <c r="U53" s="27">
        <f t="shared" si="3"/>
        <v>5.4034725812882414</v>
      </c>
    </row>
    <row r="54" spans="1:21" x14ac:dyDescent="0.3">
      <c r="L54" s="19">
        <f t="shared" si="5"/>
        <v>49</v>
      </c>
      <c r="M54" s="6">
        <f t="shared" si="0"/>
        <v>0</v>
      </c>
      <c r="N54" s="6">
        <f t="shared" si="7"/>
        <v>0.70428786007439048</v>
      </c>
      <c r="R54" s="24">
        <f t="shared" si="4"/>
        <v>48</v>
      </c>
      <c r="S54" s="1">
        <v>34516</v>
      </c>
      <c r="T54" s="2">
        <v>6.1</v>
      </c>
      <c r="U54" s="27">
        <f t="shared" si="3"/>
        <v>5.3422711714862059</v>
      </c>
    </row>
    <row r="55" spans="1:21" x14ac:dyDescent="0.3">
      <c r="L55" s="19">
        <f t="shared" si="5"/>
        <v>50</v>
      </c>
      <c r="M55" s="6">
        <f t="shared" si="0"/>
        <v>0</v>
      </c>
      <c r="N55" s="6">
        <f t="shared" si="7"/>
        <v>0.79559671068745086</v>
      </c>
      <c r="R55" s="24">
        <f t="shared" si="4"/>
        <v>49</v>
      </c>
      <c r="S55" s="1">
        <v>34547</v>
      </c>
      <c r="T55" s="2">
        <v>6</v>
      </c>
      <c r="U55" s="27">
        <f t="shared" si="3"/>
        <v>5.2957121399256097</v>
      </c>
    </row>
    <row r="56" spans="1:21" x14ac:dyDescent="0.3">
      <c r="L56" s="19">
        <f t="shared" si="5"/>
        <v>51</v>
      </c>
      <c r="M56" s="6">
        <f t="shared" si="0"/>
        <v>0</v>
      </c>
      <c r="N56" s="6">
        <f t="shared" si="7"/>
        <v>0.83492440975028259</v>
      </c>
      <c r="R56" s="24">
        <f t="shared" si="4"/>
        <v>50</v>
      </c>
      <c r="S56" s="1">
        <v>34578</v>
      </c>
      <c r="T56" s="2">
        <v>5.9</v>
      </c>
      <c r="U56" s="27">
        <f t="shared" si="3"/>
        <v>5.1044032893125495</v>
      </c>
    </row>
    <row r="57" spans="1:21" x14ac:dyDescent="0.3">
      <c r="L57" s="19">
        <f t="shared" si="5"/>
        <v>52</v>
      </c>
      <c r="M57" s="6">
        <f t="shared" si="0"/>
        <v>0</v>
      </c>
      <c r="N57" s="6">
        <f t="shared" si="7"/>
        <v>0.81926129558403737</v>
      </c>
      <c r="R57" s="24">
        <f t="shared" si="4"/>
        <v>51</v>
      </c>
      <c r="S57" s="1">
        <v>34608</v>
      </c>
      <c r="T57" s="2">
        <v>5.8</v>
      </c>
      <c r="U57" s="27">
        <f t="shared" si="3"/>
        <v>4.9650755902497172</v>
      </c>
    </row>
    <row r="58" spans="1:21" x14ac:dyDescent="0.3">
      <c r="L58" s="19">
        <f t="shared" si="5"/>
        <v>53</v>
      </c>
      <c r="M58" s="6">
        <f t="shared" si="0"/>
        <v>0</v>
      </c>
      <c r="N58" s="6">
        <f t="shared" si="7"/>
        <v>0.80662891103614764</v>
      </c>
      <c r="R58" s="24">
        <f t="shared" si="4"/>
        <v>52</v>
      </c>
      <c r="S58" s="1">
        <v>34639</v>
      </c>
      <c r="T58" s="2">
        <v>5.6</v>
      </c>
      <c r="U58" s="27">
        <f t="shared" si="3"/>
        <v>4.7807387044159624</v>
      </c>
    </row>
    <row r="59" spans="1:21" x14ac:dyDescent="0.3">
      <c r="L59" s="19">
        <f t="shared" si="5"/>
        <v>54</v>
      </c>
      <c r="M59" s="6">
        <f t="shared" si="0"/>
        <v>0</v>
      </c>
      <c r="N59" s="6">
        <f t="shared" si="7"/>
        <v>0.72884124235757808</v>
      </c>
      <c r="R59" s="24">
        <f t="shared" si="4"/>
        <v>53</v>
      </c>
      <c r="S59" s="1">
        <v>34669</v>
      </c>
      <c r="T59" s="2">
        <v>5.5</v>
      </c>
      <c r="U59" s="27">
        <f t="shared" si="3"/>
        <v>4.6933710889638522</v>
      </c>
    </row>
    <row r="60" spans="1:21" x14ac:dyDescent="0.3">
      <c r="L60" s="19">
        <f t="shared" si="5"/>
        <v>55</v>
      </c>
      <c r="M60" s="6">
        <f t="shared" si="0"/>
        <v>0</v>
      </c>
      <c r="N60" s="6">
        <f t="shared" si="7"/>
        <v>0.72728377670016109</v>
      </c>
      <c r="R60" s="24">
        <f t="shared" si="4"/>
        <v>54</v>
      </c>
      <c r="S60" s="1">
        <v>34700</v>
      </c>
      <c r="T60" s="2">
        <v>5.6</v>
      </c>
      <c r="U60" s="27">
        <f t="shared" si="3"/>
        <v>4.8711587576424211</v>
      </c>
    </row>
    <row r="61" spans="1:21" x14ac:dyDescent="0.3">
      <c r="L61" s="19">
        <f t="shared" si="5"/>
        <v>56</v>
      </c>
      <c r="M61" s="6">
        <f t="shared" si="0"/>
        <v>0</v>
      </c>
      <c r="N61" s="6">
        <f t="shared" si="7"/>
        <v>0.72575417336285319</v>
      </c>
      <c r="R61" s="24">
        <f t="shared" si="4"/>
        <v>55</v>
      </c>
      <c r="S61" s="1">
        <v>34731</v>
      </c>
      <c r="T61" s="2">
        <v>5.4</v>
      </c>
      <c r="U61" s="27">
        <f t="shared" si="3"/>
        <v>4.6727162232998394</v>
      </c>
    </row>
    <row r="62" spans="1:21" x14ac:dyDescent="0.3">
      <c r="L62" s="19">
        <f t="shared" si="5"/>
        <v>57</v>
      </c>
      <c r="M62" s="6">
        <f t="shared" si="0"/>
        <v>0</v>
      </c>
      <c r="N62" s="6">
        <f t="shared" si="7"/>
        <v>0.67988144516177718</v>
      </c>
      <c r="R62" s="24">
        <f t="shared" si="4"/>
        <v>56</v>
      </c>
      <c r="S62" s="1">
        <v>34759</v>
      </c>
      <c r="T62" s="2">
        <v>5.4</v>
      </c>
      <c r="U62" s="27">
        <f t="shared" si="3"/>
        <v>4.6742458266371472</v>
      </c>
    </row>
    <row r="63" spans="1:21" x14ac:dyDescent="0.3">
      <c r="L63" s="19">
        <f t="shared" si="5"/>
        <v>58</v>
      </c>
      <c r="M63" s="6">
        <f t="shared" si="0"/>
        <v>0</v>
      </c>
      <c r="N63" s="6">
        <f t="shared" si="7"/>
        <v>0.62781738620619376</v>
      </c>
      <c r="R63" s="24">
        <f t="shared" si="4"/>
        <v>57</v>
      </c>
      <c r="S63" s="1">
        <v>34790</v>
      </c>
      <c r="T63" s="2">
        <v>5.8</v>
      </c>
      <c r="U63" s="27">
        <f t="shared" si="3"/>
        <v>5.1201185548382231</v>
      </c>
    </row>
    <row r="64" spans="1:21" x14ac:dyDescent="0.3">
      <c r="L64" s="19">
        <f t="shared" si="5"/>
        <v>59</v>
      </c>
      <c r="M64" s="6">
        <f t="shared" si="0"/>
        <v>0</v>
      </c>
      <c r="N64" s="6">
        <f t="shared" si="7"/>
        <v>0.54210557046476826</v>
      </c>
      <c r="R64" s="24">
        <f t="shared" si="4"/>
        <v>58</v>
      </c>
      <c r="S64" s="1">
        <v>34820</v>
      </c>
      <c r="T64" s="2">
        <v>5.6</v>
      </c>
      <c r="U64" s="27">
        <f t="shared" si="3"/>
        <v>4.9721826137938061</v>
      </c>
    </row>
    <row r="65" spans="12:21" x14ac:dyDescent="0.3">
      <c r="L65" s="19">
        <f t="shared" si="5"/>
        <v>60</v>
      </c>
      <c r="M65" s="6">
        <f t="shared" si="0"/>
        <v>0</v>
      </c>
      <c r="N65" s="6">
        <f t="shared" si="7"/>
        <v>0.48411716392892268</v>
      </c>
      <c r="R65" s="24">
        <f t="shared" si="4"/>
        <v>59</v>
      </c>
      <c r="S65" s="1">
        <v>34851</v>
      </c>
      <c r="T65" s="2">
        <v>5.6</v>
      </c>
      <c r="U65" s="27">
        <f t="shared" si="3"/>
        <v>5.0578944295352315</v>
      </c>
    </row>
    <row r="66" spans="12:21" x14ac:dyDescent="0.3">
      <c r="L66" s="19">
        <f t="shared" si="5"/>
        <v>61</v>
      </c>
      <c r="M66" s="6">
        <f t="shared" si="0"/>
        <v>0</v>
      </c>
      <c r="N66" s="6">
        <f t="shared" si="7"/>
        <v>0.45248410140779638</v>
      </c>
      <c r="R66" s="24">
        <f t="shared" si="4"/>
        <v>60</v>
      </c>
      <c r="S66" s="1">
        <v>34881</v>
      </c>
      <c r="T66" s="2">
        <v>5.7</v>
      </c>
      <c r="U66" s="27">
        <f t="shared" si="3"/>
        <v>5.2158828360710778</v>
      </c>
    </row>
    <row r="67" spans="12:21" x14ac:dyDescent="0.3">
      <c r="L67" s="19">
        <f t="shared" si="5"/>
        <v>62</v>
      </c>
      <c r="M67" s="6">
        <f t="shared" si="0"/>
        <v>0</v>
      </c>
      <c r="N67" s="6">
        <f t="shared" si="7"/>
        <v>0.44463685848383983</v>
      </c>
      <c r="R67" s="24">
        <f t="shared" si="4"/>
        <v>61</v>
      </c>
      <c r="S67" s="1">
        <v>34912</v>
      </c>
      <c r="T67" s="2">
        <v>5.7</v>
      </c>
      <c r="U67" s="27">
        <f t="shared" si="3"/>
        <v>5.2475158985922041</v>
      </c>
    </row>
    <row r="68" spans="12:21" x14ac:dyDescent="0.3">
      <c r="L68" s="19">
        <f t="shared" si="5"/>
        <v>63</v>
      </c>
      <c r="M68" s="6">
        <f t="shared" si="0"/>
        <v>0</v>
      </c>
      <c r="N68" s="6">
        <f t="shared" si="7"/>
        <v>0.44927574394454955</v>
      </c>
      <c r="R68" s="24">
        <f t="shared" si="4"/>
        <v>62</v>
      </c>
      <c r="S68" s="1">
        <v>34943</v>
      </c>
      <c r="T68" s="2">
        <v>5.6</v>
      </c>
      <c r="U68" s="27">
        <f t="shared" si="3"/>
        <v>5.15536314151616</v>
      </c>
    </row>
    <row r="69" spans="12:21" x14ac:dyDescent="0.3">
      <c r="L69" s="19">
        <f t="shared" si="5"/>
        <v>64</v>
      </c>
      <c r="M69" s="6">
        <f t="shared" si="0"/>
        <v>0</v>
      </c>
      <c r="N69" s="6">
        <f t="shared" si="7"/>
        <v>0.40764817592137659</v>
      </c>
      <c r="R69" s="24">
        <f t="shared" si="4"/>
        <v>63</v>
      </c>
      <c r="S69" s="1">
        <v>34973</v>
      </c>
      <c r="T69" s="2">
        <v>5.5</v>
      </c>
      <c r="U69" s="27">
        <f t="shared" si="3"/>
        <v>5.0507242560554504</v>
      </c>
    </row>
    <row r="70" spans="12:21" x14ac:dyDescent="0.3">
      <c r="L70" s="19">
        <f t="shared" si="5"/>
        <v>65</v>
      </c>
      <c r="M70" s="6">
        <f t="shared" ref="M70:M83" si="8">D70</f>
        <v>0</v>
      </c>
      <c r="N70" s="6">
        <f t="shared" si="7"/>
        <v>0.37891490376401582</v>
      </c>
      <c r="R70" s="24">
        <f t="shared" si="4"/>
        <v>64</v>
      </c>
      <c r="S70" s="1">
        <v>35004</v>
      </c>
      <c r="T70" s="2">
        <v>5.6</v>
      </c>
      <c r="U70" s="27">
        <f t="shared" si="3"/>
        <v>5.1923518240786226</v>
      </c>
    </row>
    <row r="71" spans="12:21" x14ac:dyDescent="0.3">
      <c r="L71" s="19">
        <f t="shared" si="5"/>
        <v>66</v>
      </c>
      <c r="M71" s="6">
        <f t="shared" si="8"/>
        <v>0</v>
      </c>
      <c r="R71" s="24">
        <f t="shared" si="4"/>
        <v>65</v>
      </c>
      <c r="S71" s="1">
        <v>35034</v>
      </c>
      <c r="T71" s="2">
        <v>5.6</v>
      </c>
      <c r="U71" s="27">
        <f t="shared" si="3"/>
        <v>5.221085096235984</v>
      </c>
    </row>
    <row r="72" spans="12:21" x14ac:dyDescent="0.3">
      <c r="L72" s="19">
        <f t="shared" si="5"/>
        <v>67</v>
      </c>
      <c r="M72" s="6">
        <f t="shared" si="8"/>
        <v>0</v>
      </c>
      <c r="R72" s="24">
        <f t="shared" si="4"/>
        <v>66</v>
      </c>
      <c r="S72" s="1">
        <v>35065</v>
      </c>
      <c r="T72" s="2">
        <v>5.6</v>
      </c>
    </row>
    <row r="73" spans="12:21" x14ac:dyDescent="0.3">
      <c r="L73" s="19">
        <f t="shared" si="5"/>
        <v>68</v>
      </c>
      <c r="M73" s="6">
        <f t="shared" si="8"/>
        <v>0</v>
      </c>
      <c r="R73" s="24">
        <f t="shared" ref="R73:R80" si="9">R72+1</f>
        <v>67</v>
      </c>
      <c r="S73" s="1">
        <v>35096</v>
      </c>
      <c r="T73" s="2">
        <v>5.5</v>
      </c>
    </row>
    <row r="74" spans="12:21" x14ac:dyDescent="0.3">
      <c r="L74" s="19">
        <f t="shared" si="5"/>
        <v>69</v>
      </c>
      <c r="M74" s="6">
        <f t="shared" si="8"/>
        <v>0</v>
      </c>
      <c r="R74" s="24">
        <f t="shared" si="9"/>
        <v>68</v>
      </c>
      <c r="S74" s="1">
        <v>35125</v>
      </c>
      <c r="T74" s="2">
        <v>5.5</v>
      </c>
    </row>
    <row r="75" spans="12:21" x14ac:dyDescent="0.3">
      <c r="L75" s="19">
        <f t="shared" ref="L75:L110" si="10">L74+1</f>
        <v>70</v>
      </c>
      <c r="M75" s="6">
        <f t="shared" si="8"/>
        <v>0</v>
      </c>
      <c r="R75" s="24">
        <f t="shared" si="9"/>
        <v>69</v>
      </c>
      <c r="S75" s="1">
        <v>35156</v>
      </c>
      <c r="T75" s="2">
        <v>5.6</v>
      </c>
    </row>
    <row r="76" spans="12:21" x14ac:dyDescent="0.3">
      <c r="L76" s="19">
        <f t="shared" si="10"/>
        <v>71</v>
      </c>
      <c r="M76" s="6">
        <f t="shared" si="8"/>
        <v>0</v>
      </c>
      <c r="R76" s="24">
        <f t="shared" si="9"/>
        <v>70</v>
      </c>
      <c r="S76" s="1">
        <v>35186</v>
      </c>
      <c r="T76" s="2">
        <v>5.6</v>
      </c>
    </row>
    <row r="77" spans="12:21" x14ac:dyDescent="0.3">
      <c r="L77" s="19">
        <f t="shared" si="10"/>
        <v>72</v>
      </c>
      <c r="M77" s="6">
        <f t="shared" si="8"/>
        <v>0</v>
      </c>
      <c r="R77" s="24">
        <f t="shared" si="9"/>
        <v>71</v>
      </c>
      <c r="S77" s="1">
        <v>35217</v>
      </c>
      <c r="T77" s="2">
        <v>5.3</v>
      </c>
    </row>
    <row r="78" spans="12:21" x14ac:dyDescent="0.3">
      <c r="L78" s="19">
        <f t="shared" si="10"/>
        <v>73</v>
      </c>
      <c r="M78" s="6">
        <f t="shared" si="8"/>
        <v>0</v>
      </c>
      <c r="R78" s="24">
        <f t="shared" si="9"/>
        <v>72</v>
      </c>
      <c r="S78" s="1">
        <v>35247</v>
      </c>
      <c r="T78" s="2">
        <v>5.5</v>
      </c>
    </row>
    <row r="79" spans="12:21" x14ac:dyDescent="0.3">
      <c r="L79" s="19">
        <f t="shared" si="10"/>
        <v>74</v>
      </c>
      <c r="M79" s="6">
        <f t="shared" si="8"/>
        <v>0</v>
      </c>
      <c r="R79" s="24">
        <f t="shared" si="9"/>
        <v>73</v>
      </c>
      <c r="S79" s="1">
        <v>35278</v>
      </c>
      <c r="T79" s="2">
        <v>5.0999999999999996</v>
      </c>
    </row>
    <row r="80" spans="12:21" x14ac:dyDescent="0.3">
      <c r="L80" s="19">
        <f t="shared" si="10"/>
        <v>75</v>
      </c>
      <c r="M80" s="6">
        <f t="shared" si="8"/>
        <v>0</v>
      </c>
      <c r="R80" s="24">
        <f t="shared" si="9"/>
        <v>74</v>
      </c>
      <c r="S80" s="1">
        <v>35309</v>
      </c>
      <c r="T80" s="2">
        <v>5.2</v>
      </c>
    </row>
    <row r="81" spans="12:13" x14ac:dyDescent="0.3">
      <c r="L81" s="19">
        <f t="shared" si="10"/>
        <v>76</v>
      </c>
      <c r="M81" s="6">
        <f t="shared" si="8"/>
        <v>0</v>
      </c>
    </row>
    <row r="82" spans="12:13" x14ac:dyDescent="0.3">
      <c r="L82" s="19">
        <f t="shared" si="10"/>
        <v>77</v>
      </c>
      <c r="M82" s="6">
        <f t="shared" si="8"/>
        <v>0</v>
      </c>
    </row>
    <row r="83" spans="12:13" x14ac:dyDescent="0.3">
      <c r="L83" s="19">
        <f t="shared" si="10"/>
        <v>78</v>
      </c>
      <c r="M83" s="6">
        <f t="shared" si="8"/>
        <v>0</v>
      </c>
    </row>
    <row r="84" spans="12:13" x14ac:dyDescent="0.3">
      <c r="L84" s="19">
        <f t="shared" si="10"/>
        <v>79</v>
      </c>
      <c r="M84" s="6">
        <v>0</v>
      </c>
    </row>
    <row r="85" spans="12:13" x14ac:dyDescent="0.3">
      <c r="L85" s="19">
        <f t="shared" si="10"/>
        <v>80</v>
      </c>
      <c r="M85" s="6">
        <v>0</v>
      </c>
    </row>
    <row r="86" spans="12:13" x14ac:dyDescent="0.3">
      <c r="L86" s="19">
        <f t="shared" si="10"/>
        <v>81</v>
      </c>
      <c r="M86" s="6">
        <v>0</v>
      </c>
    </row>
    <row r="87" spans="12:13" x14ac:dyDescent="0.3">
      <c r="L87" s="19">
        <f t="shared" si="10"/>
        <v>82</v>
      </c>
      <c r="M87" s="6">
        <v>0</v>
      </c>
    </row>
    <row r="88" spans="12:13" x14ac:dyDescent="0.3">
      <c r="L88" s="19">
        <f t="shared" si="10"/>
        <v>83</v>
      </c>
      <c r="M88" s="6">
        <v>0</v>
      </c>
    </row>
    <row r="89" spans="12:13" x14ac:dyDescent="0.3">
      <c r="L89" s="19">
        <f t="shared" si="10"/>
        <v>84</v>
      </c>
      <c r="M89" s="6">
        <v>0</v>
      </c>
    </row>
    <row r="90" spans="12:13" x14ac:dyDescent="0.3">
      <c r="L90" s="19">
        <f t="shared" si="10"/>
        <v>85</v>
      </c>
      <c r="M90" s="6">
        <v>0</v>
      </c>
    </row>
    <row r="91" spans="12:13" x14ac:dyDescent="0.3">
      <c r="L91" s="19">
        <f t="shared" si="10"/>
        <v>86</v>
      </c>
      <c r="M91" s="6">
        <v>0</v>
      </c>
    </row>
    <row r="92" spans="12:13" x14ac:dyDescent="0.3">
      <c r="L92" s="19">
        <f t="shared" si="10"/>
        <v>87</v>
      </c>
      <c r="M92" s="6">
        <v>0</v>
      </c>
    </row>
    <row r="93" spans="12:13" x14ac:dyDescent="0.3">
      <c r="L93" s="19">
        <f t="shared" si="10"/>
        <v>88</v>
      </c>
      <c r="M93" s="6">
        <v>0</v>
      </c>
    </row>
    <row r="94" spans="12:13" x14ac:dyDescent="0.3">
      <c r="L94" s="19">
        <f t="shared" si="10"/>
        <v>89</v>
      </c>
      <c r="M94" s="6">
        <v>0</v>
      </c>
    </row>
    <row r="95" spans="12:13" x14ac:dyDescent="0.3">
      <c r="L95" s="19">
        <f t="shared" si="10"/>
        <v>90</v>
      </c>
      <c r="M95" s="6">
        <v>0</v>
      </c>
    </row>
    <row r="96" spans="12:13" x14ac:dyDescent="0.3">
      <c r="L96" s="19">
        <f t="shared" si="10"/>
        <v>91</v>
      </c>
      <c r="M96" s="6">
        <v>0</v>
      </c>
    </row>
    <row r="97" spans="12:13" x14ac:dyDescent="0.3">
      <c r="L97" s="19">
        <f t="shared" si="10"/>
        <v>92</v>
      </c>
      <c r="M97" s="6">
        <v>0</v>
      </c>
    </row>
    <row r="98" spans="12:13" x14ac:dyDescent="0.3">
      <c r="L98" s="19">
        <f t="shared" si="10"/>
        <v>93</v>
      </c>
      <c r="M98" s="6">
        <v>0</v>
      </c>
    </row>
    <row r="99" spans="12:13" x14ac:dyDescent="0.3">
      <c r="L99" s="19">
        <f t="shared" si="10"/>
        <v>94</v>
      </c>
      <c r="M99" s="6">
        <v>0</v>
      </c>
    </row>
    <row r="100" spans="12:13" x14ac:dyDescent="0.3">
      <c r="L100" s="19">
        <f t="shared" si="10"/>
        <v>95</v>
      </c>
      <c r="M100" s="6">
        <v>0</v>
      </c>
    </row>
    <row r="101" spans="12:13" x14ac:dyDescent="0.3">
      <c r="L101" s="19">
        <f t="shared" si="10"/>
        <v>96</v>
      </c>
      <c r="M101" s="6">
        <v>0</v>
      </c>
    </row>
    <row r="102" spans="12:13" x14ac:dyDescent="0.3">
      <c r="L102" s="19">
        <f t="shared" si="10"/>
        <v>97</v>
      </c>
      <c r="M102" s="6">
        <v>0</v>
      </c>
    </row>
    <row r="103" spans="12:13" x14ac:dyDescent="0.3">
      <c r="L103" s="19">
        <f t="shared" si="10"/>
        <v>98</v>
      </c>
      <c r="M103" s="6">
        <v>0</v>
      </c>
    </row>
    <row r="104" spans="12:13" x14ac:dyDescent="0.3">
      <c r="L104" s="19">
        <f t="shared" si="10"/>
        <v>99</v>
      </c>
      <c r="M104" s="6">
        <v>0</v>
      </c>
    </row>
    <row r="105" spans="12:13" x14ac:dyDescent="0.3">
      <c r="L105" s="19">
        <f t="shared" si="10"/>
        <v>100</v>
      </c>
      <c r="M105" s="6">
        <v>0</v>
      </c>
    </row>
    <row r="106" spans="12:13" x14ac:dyDescent="0.3">
      <c r="L106" s="19">
        <f t="shared" si="10"/>
        <v>101</v>
      </c>
    </row>
    <row r="107" spans="12:13" x14ac:dyDescent="0.3">
      <c r="L107" s="19">
        <f t="shared" si="10"/>
        <v>102</v>
      </c>
    </row>
    <row r="108" spans="12:13" x14ac:dyDescent="0.3">
      <c r="L108" s="19">
        <f t="shared" si="10"/>
        <v>103</v>
      </c>
    </row>
    <row r="109" spans="12:13" x14ac:dyDescent="0.3">
      <c r="L109" s="19">
        <f t="shared" si="10"/>
        <v>104</v>
      </c>
    </row>
    <row r="110" spans="12:13" x14ac:dyDescent="0.3">
      <c r="L110" s="19">
        <f t="shared" si="10"/>
        <v>105</v>
      </c>
    </row>
  </sheetData>
  <mergeCells count="1">
    <mergeCell ref="B3:C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0"/>
  <sheetViews>
    <sheetView topLeftCell="E1" workbookViewId="0">
      <selection activeCell="T5" sqref="T5:U54"/>
    </sheetView>
  </sheetViews>
  <sheetFormatPr defaultRowHeight="14.4" x14ac:dyDescent="0.3"/>
  <cols>
    <col min="5" max="5" width="2.109375" style="3" customWidth="1"/>
    <col min="6" max="9" width="9.109375" style="12"/>
    <col min="10" max="10" width="3" style="13" customWidth="1"/>
    <col min="11" max="11" width="2.5546875" style="6" customWidth="1"/>
    <col min="12" max="13" width="9.109375" style="6"/>
    <col min="14" max="14" width="11.33203125" style="6" customWidth="1"/>
    <col min="15" max="15" width="9.109375" style="6"/>
    <col min="16" max="16" width="2.109375" style="7" customWidth="1"/>
    <col min="17" max="17" width="2.109375" style="22" customWidth="1"/>
    <col min="18" max="18" width="8.44140625" style="24" customWidth="1"/>
    <col min="19" max="19" width="10.44140625" customWidth="1"/>
    <col min="21" max="21" width="16.44140625" style="18" customWidth="1"/>
  </cols>
  <sheetData>
    <row r="1" spans="1:21" x14ac:dyDescent="0.3">
      <c r="F1" s="12" t="s">
        <v>5</v>
      </c>
      <c r="L1" s="6" t="s">
        <v>9</v>
      </c>
    </row>
    <row r="2" spans="1:21" x14ac:dyDescent="0.3">
      <c r="F2" s="12" t="s">
        <v>8</v>
      </c>
    </row>
    <row r="3" spans="1:21" x14ac:dyDescent="0.3">
      <c r="B3" s="58" t="s">
        <v>19</v>
      </c>
      <c r="C3" s="58"/>
      <c r="M3" s="19">
        <v>2001</v>
      </c>
      <c r="N3" s="19" t="s">
        <v>13</v>
      </c>
      <c r="T3" t="s">
        <v>23</v>
      </c>
      <c r="U3" s="18" t="s">
        <v>25</v>
      </c>
    </row>
    <row r="4" spans="1:21" s="4" customFormat="1" x14ac:dyDescent="0.3">
      <c r="A4" s="16" t="s">
        <v>20</v>
      </c>
      <c r="B4" s="16" t="s">
        <v>17</v>
      </c>
      <c r="C4" s="16" t="s">
        <v>27</v>
      </c>
      <c r="D4" s="16" t="s">
        <v>21</v>
      </c>
      <c r="E4" s="5"/>
      <c r="F4" s="14"/>
      <c r="G4" s="14" t="s">
        <v>3</v>
      </c>
      <c r="H4" s="14" t="s">
        <v>4</v>
      </c>
      <c r="I4" s="14" t="s">
        <v>2</v>
      </c>
      <c r="J4" s="15"/>
      <c r="K4" s="8"/>
      <c r="L4" s="20" t="s">
        <v>10</v>
      </c>
      <c r="M4" s="20" t="s">
        <v>12</v>
      </c>
      <c r="N4" s="20" t="s">
        <v>22</v>
      </c>
      <c r="O4" s="8"/>
      <c r="P4" s="9"/>
      <c r="Q4" s="23"/>
      <c r="R4" s="25" t="s">
        <v>24</v>
      </c>
      <c r="T4" s="4">
        <v>2001</v>
      </c>
      <c r="U4" s="16" t="s">
        <v>26</v>
      </c>
    </row>
    <row r="5" spans="1:21" x14ac:dyDescent="0.3">
      <c r="A5" s="18">
        <v>0</v>
      </c>
      <c r="B5" s="18">
        <v>-0.16363441482787225</v>
      </c>
      <c r="C5" s="18">
        <v>-0.45953638307252398</v>
      </c>
      <c r="D5" s="18">
        <f>C5-B5</f>
        <v>-0.29590196824465176</v>
      </c>
      <c r="F5" s="12">
        <v>1</v>
      </c>
      <c r="G5" s="12">
        <v>0.97132165665518599</v>
      </c>
      <c r="H5" s="12">
        <v>-5.0798065020768501E-2</v>
      </c>
      <c r="I5" s="12">
        <v>0.116203295751691</v>
      </c>
      <c r="L5" s="21">
        <v>0</v>
      </c>
      <c r="M5" s="6">
        <f>D5</f>
        <v>-0.29590196824465176</v>
      </c>
      <c r="N5" s="6">
        <f>0</f>
        <v>0</v>
      </c>
      <c r="R5" s="24">
        <v>-1</v>
      </c>
      <c r="S5" s="1">
        <v>36923</v>
      </c>
      <c r="T5" s="2">
        <v>4.2</v>
      </c>
      <c r="U5" s="27">
        <f>T5</f>
        <v>4.2</v>
      </c>
    </row>
    <row r="6" spans="1:21" x14ac:dyDescent="0.3">
      <c r="A6" s="18">
        <f>A5+1</f>
        <v>1</v>
      </c>
      <c r="B6" s="18">
        <v>-0.19412110504071639</v>
      </c>
      <c r="C6" s="18">
        <v>0</v>
      </c>
      <c r="D6" s="18">
        <f>(C6-C5)-(B6-B5)</f>
        <v>0.49002307328536809</v>
      </c>
      <c r="F6" s="12">
        <v>2</v>
      </c>
      <c r="G6" s="12">
        <v>0.17193252591855199</v>
      </c>
      <c r="H6" s="12">
        <v>1.8920987941651299E-2</v>
      </c>
      <c r="L6" s="19">
        <v>1</v>
      </c>
      <c r="M6" s="6">
        <f t="shared" ref="M6:M69" si="0">D6</f>
        <v>0.49002307328536809</v>
      </c>
      <c r="N6" s="6">
        <f>G$5*N5+H$5*M5</f>
        <v>1.5031247422665196E-2</v>
      </c>
      <c r="R6" s="24">
        <v>0</v>
      </c>
      <c r="S6" s="1">
        <v>36951</v>
      </c>
      <c r="T6" s="2">
        <v>4.3</v>
      </c>
      <c r="U6" s="27">
        <f>T6</f>
        <v>4.3</v>
      </c>
    </row>
    <row r="7" spans="1:21" x14ac:dyDescent="0.3">
      <c r="A7" s="18">
        <f t="shared" ref="A7:A53" si="1">A6+1</f>
        <v>2</v>
      </c>
      <c r="B7" s="18">
        <v>2.0533216256124837E-2</v>
      </c>
      <c r="C7" s="18">
        <v>-0.39539291761609202</v>
      </c>
      <c r="D7" s="18">
        <f t="shared" ref="D7:D50" si="2">(C7-C6)-(B7-B6)</f>
        <v>-0.61004723891293322</v>
      </c>
      <c r="F7" s="12">
        <v>3</v>
      </c>
      <c r="G7" s="12">
        <v>3.2012325767390597E-2</v>
      </c>
      <c r="H7" s="12">
        <v>-1.09532845050231E-2</v>
      </c>
      <c r="L7" s="19">
        <v>2</v>
      </c>
      <c r="M7" s="6">
        <f t="shared" si="0"/>
        <v>-0.61004723891293322</v>
      </c>
      <c r="N7" s="6">
        <f>G$5*N6+G$6*N5+H$5*M6+H$6*M5</f>
        <v>-1.5890805363317727E-2</v>
      </c>
      <c r="R7" s="24">
        <v>1</v>
      </c>
      <c r="S7" s="1">
        <v>36982</v>
      </c>
      <c r="T7" s="2">
        <v>4.4000000000000004</v>
      </c>
      <c r="U7" s="27">
        <f>T7-N6</f>
        <v>4.3849687525773353</v>
      </c>
    </row>
    <row r="8" spans="1:21" x14ac:dyDescent="0.3">
      <c r="A8" s="18">
        <f t="shared" si="1"/>
        <v>3</v>
      </c>
      <c r="B8" s="18">
        <v>-0.89505631177388989</v>
      </c>
      <c r="C8" s="18">
        <v>-0.117713026232572</v>
      </c>
      <c r="D8" s="18">
        <f t="shared" si="2"/>
        <v>1.1932694194135347</v>
      </c>
      <c r="F8" s="12">
        <v>4</v>
      </c>
      <c r="G8" s="12">
        <v>-4.1751144496329697E-2</v>
      </c>
      <c r="H8" s="12">
        <v>-1.3412907958196701E-2</v>
      </c>
      <c r="L8" s="19">
        <v>3</v>
      </c>
      <c r="M8" s="6">
        <f t="shared" si="0"/>
        <v>1.1932694194135347</v>
      </c>
      <c r="N8" s="6">
        <f>G$5*N7+G$6*N6+G$7*N5+H$5*M7+H$6*M6+H$7*M5</f>
        <v>3.0651315358585479E-2</v>
      </c>
      <c r="R8" s="24">
        <f>R7+1</f>
        <v>2</v>
      </c>
      <c r="S8" s="1">
        <v>37012</v>
      </c>
      <c r="T8" s="2">
        <v>4.3</v>
      </c>
      <c r="U8" s="27">
        <f t="shared" ref="U8:U71" si="3">T8-N7</f>
        <v>4.3158908053633178</v>
      </c>
    </row>
    <row r="9" spans="1:21" x14ac:dyDescent="0.3">
      <c r="A9" s="18">
        <f t="shared" si="1"/>
        <v>4</v>
      </c>
      <c r="B9" s="18">
        <v>-1.0196887171393891</v>
      </c>
      <c r="C9" s="18">
        <v>0</v>
      </c>
      <c r="D9" s="18">
        <f t="shared" si="2"/>
        <v>0.24234543159807126</v>
      </c>
      <c r="F9" s="12">
        <v>5</v>
      </c>
      <c r="G9" s="12">
        <v>-7.7196156434740607E-2</v>
      </c>
      <c r="H9" s="12">
        <v>5.9080706844004197E-2</v>
      </c>
      <c r="L9" s="19">
        <v>4</v>
      </c>
      <c r="M9" s="6">
        <f t="shared" si="0"/>
        <v>0.24234543159807126</v>
      </c>
      <c r="N9" s="6">
        <f>G$5*N8+G$6*N7+G$7*N6+G$8*N5+H$5*M8+H$6*M7+H$7*M6+H$8*M5</f>
        <v>-4.6035604980027248E-2</v>
      </c>
      <c r="R9" s="24">
        <f t="shared" ref="R9:R72" si="4">R8+1</f>
        <v>3</v>
      </c>
      <c r="S9" s="1">
        <v>37043</v>
      </c>
      <c r="T9" s="2">
        <v>4.5</v>
      </c>
      <c r="U9" s="27">
        <f t="shared" si="3"/>
        <v>4.4693486846414148</v>
      </c>
    </row>
    <row r="10" spans="1:21" x14ac:dyDescent="0.3">
      <c r="A10" s="18">
        <f t="shared" si="1"/>
        <v>5</v>
      </c>
      <c r="B10" s="18">
        <v>-0.83090114655859626</v>
      </c>
      <c r="C10" s="18">
        <v>-0.105754881842162</v>
      </c>
      <c r="D10" s="18">
        <f t="shared" si="2"/>
        <v>-0.29454245242295485</v>
      </c>
      <c r="F10" s="12">
        <v>6</v>
      </c>
      <c r="G10" s="12">
        <v>8.2494470788330495E-3</v>
      </c>
      <c r="H10" s="12">
        <v>3.4696330464081403E-2</v>
      </c>
      <c r="L10" s="19">
        <f>L9+1</f>
        <v>5</v>
      </c>
      <c r="M10" s="6">
        <f t="shared" si="0"/>
        <v>-0.29454245242295485</v>
      </c>
      <c r="N10" s="6">
        <f>G$5*N9+G$6*N8+G$7*N7+G$8*N6+G$9*N5+H$5*M9+H$6*M8+H$7*M7+H$8*M6+H$9*M5</f>
        <v>-4.7687248989515159E-2</v>
      </c>
      <c r="R10" s="24">
        <f t="shared" si="4"/>
        <v>4</v>
      </c>
      <c r="S10" s="1">
        <v>37073</v>
      </c>
      <c r="T10" s="2">
        <v>4.5999999999999996</v>
      </c>
      <c r="U10" s="27">
        <f t="shared" si="3"/>
        <v>4.6460356049800273</v>
      </c>
    </row>
    <row r="11" spans="1:21" x14ac:dyDescent="0.3">
      <c r="A11" s="18">
        <f t="shared" si="1"/>
        <v>6</v>
      </c>
      <c r="B11" s="18">
        <v>-0.67972573690058247</v>
      </c>
      <c r="C11" s="18">
        <v>0</v>
      </c>
      <c r="D11" s="18">
        <f t="shared" si="2"/>
        <v>-4.5420527815851791E-2</v>
      </c>
      <c r="F11" s="12">
        <v>7</v>
      </c>
      <c r="G11" s="12">
        <v>-6.7693214313629901E-2</v>
      </c>
      <c r="H11" s="12">
        <v>3.3556428170122499E-2</v>
      </c>
      <c r="L11" s="19">
        <f t="shared" ref="L11:L74" si="5">L10+1</f>
        <v>6</v>
      </c>
      <c r="M11" s="6">
        <f t="shared" si="0"/>
        <v>-4.5420527815851791E-2</v>
      </c>
      <c r="N11" s="6">
        <f>G$5*N10+G$6*N9+G$7*N8+G$8*N7+G$9*N6+G$10*N5+H$5*M10+H$6*M9+H$7*M8+H$8*M7+H$9*M6+H$10*M5</f>
        <v>-2.0406264133700787E-2</v>
      </c>
      <c r="R11" s="24">
        <f t="shared" si="4"/>
        <v>5</v>
      </c>
      <c r="S11" s="1">
        <v>37104</v>
      </c>
      <c r="T11" s="2">
        <v>4.9000000000000004</v>
      </c>
      <c r="U11" s="27">
        <f t="shared" si="3"/>
        <v>4.9476872489895154</v>
      </c>
    </row>
    <row r="12" spans="1:21" x14ac:dyDescent="0.3">
      <c r="A12" s="18">
        <f t="shared" si="1"/>
        <v>7</v>
      </c>
      <c r="B12" s="18">
        <v>-0.44452747214128363</v>
      </c>
      <c r="C12" s="18">
        <v>-0.14656385552666301</v>
      </c>
      <c r="D12" s="18">
        <f t="shared" si="2"/>
        <v>-0.38176212028596185</v>
      </c>
      <c r="F12" s="12">
        <v>8</v>
      </c>
      <c r="G12" s="12">
        <v>3.79096494416484E-3</v>
      </c>
      <c r="H12" s="12">
        <v>-1.12366172257329E-2</v>
      </c>
      <c r="L12" s="19">
        <f t="shared" si="5"/>
        <v>7</v>
      </c>
      <c r="M12" s="6">
        <f t="shared" si="0"/>
        <v>-0.38176212028596185</v>
      </c>
      <c r="N12" s="6">
        <f>G$5*N11+G$6*N10+G$7*N9+G$8*N8+G$9*N7+G$10*N6+G$11*N5+H$5*M11+H$6*M10+H$7*M9+H$8*M8+H$9*M7+H$10*M6+H$11*M5</f>
        <v>-8.0317644518896919E-2</v>
      </c>
      <c r="R12" s="24">
        <f t="shared" si="4"/>
        <v>6</v>
      </c>
      <c r="S12" s="1">
        <v>37135</v>
      </c>
      <c r="T12" s="2">
        <v>5</v>
      </c>
      <c r="U12" s="27">
        <f t="shared" si="3"/>
        <v>5.0204062641337011</v>
      </c>
    </row>
    <row r="13" spans="1:21" x14ac:dyDescent="0.3">
      <c r="A13" s="18">
        <f t="shared" si="1"/>
        <v>8</v>
      </c>
      <c r="B13" s="18">
        <v>-0.47968797543964814</v>
      </c>
      <c r="C13" s="18">
        <v>-0.160967856263484</v>
      </c>
      <c r="D13" s="18">
        <f t="shared" si="2"/>
        <v>2.0756502561543516E-2</v>
      </c>
      <c r="F13" s="12">
        <v>9</v>
      </c>
      <c r="G13" s="12">
        <v>1.9047712583310901E-2</v>
      </c>
      <c r="H13" s="12">
        <v>-8.4348657422356095E-3</v>
      </c>
      <c r="L13" s="19">
        <f t="shared" si="5"/>
        <v>8</v>
      </c>
      <c r="M13" s="6">
        <f t="shared" si="0"/>
        <v>2.0756502561543516E-2</v>
      </c>
      <c r="N13" s="6">
        <f>G$5*N12+G$6*N11+G$7*N10+G$8*N9+G$9*N8+G$10*N7+G$11*N6+G$12*N5+H$5*M12+H$6*M11+H$7*M10+H$8*M9+H$9*M8+H$10*M7+H$11*M6+H$12*M5</f>
        <v>2.9681112595669875E-3</v>
      </c>
      <c r="R13" s="24">
        <f t="shared" si="4"/>
        <v>7</v>
      </c>
      <c r="S13" s="1">
        <v>37165</v>
      </c>
      <c r="T13" s="2">
        <v>5.3</v>
      </c>
      <c r="U13" s="27">
        <f t="shared" si="3"/>
        <v>5.3803176445188967</v>
      </c>
    </row>
    <row r="14" spans="1:21" x14ac:dyDescent="0.3">
      <c r="A14" s="18">
        <f t="shared" si="1"/>
        <v>9</v>
      </c>
      <c r="B14" s="18">
        <v>-0.23244361797101398</v>
      </c>
      <c r="C14" s="18">
        <v>-0.21192841139928401</v>
      </c>
      <c r="D14" s="18">
        <f t="shared" si="2"/>
        <v>-0.29820491260443416</v>
      </c>
      <c r="F14" s="12">
        <v>10</v>
      </c>
      <c r="G14" s="12">
        <v>-6.3387531946679301E-2</v>
      </c>
      <c r="H14" s="12">
        <v>4.14180336912549E-2</v>
      </c>
      <c r="L14" s="19">
        <f t="shared" si="5"/>
        <v>9</v>
      </c>
      <c r="M14" s="6">
        <f t="shared" si="0"/>
        <v>-0.29820491260443416</v>
      </c>
      <c r="N14" s="6">
        <f>G$5*N13+G$6*N12+G$7*N11+G$8*N10+G$9*N9+G$10*N8+G$11*N7+G$12*N6+G$13*N5+H$5*M13+H$6*M12+H$7*M11+H$8*M10+H$9*M9+H$10*M8+H$11*M7+H$12*M6+H$13*M5</f>
        <v>2.3759994238615936E-2</v>
      </c>
      <c r="R14" s="24">
        <f t="shared" si="4"/>
        <v>8</v>
      </c>
      <c r="S14" s="1">
        <v>37196</v>
      </c>
      <c r="T14" s="2">
        <v>5.5</v>
      </c>
      <c r="U14" s="27">
        <f t="shared" si="3"/>
        <v>5.497031888740433</v>
      </c>
    </row>
    <row r="15" spans="1:21" x14ac:dyDescent="0.3">
      <c r="A15" s="18">
        <f t="shared" si="1"/>
        <v>10</v>
      </c>
      <c r="B15" s="18">
        <v>0.10181353569821966</v>
      </c>
      <c r="C15" s="18">
        <v>-0.14963158458984399</v>
      </c>
      <c r="D15" s="18">
        <f t="shared" si="2"/>
        <v>-0.27196032685979366</v>
      </c>
      <c r="F15" s="12">
        <v>11</v>
      </c>
      <c r="G15" s="12">
        <v>0.14179562314265201</v>
      </c>
      <c r="H15" s="12">
        <v>2.6352124104481001E-2</v>
      </c>
      <c r="L15" s="19">
        <f t="shared" si="5"/>
        <v>10</v>
      </c>
      <c r="M15" s="6">
        <f t="shared" si="0"/>
        <v>-0.27196032685979366</v>
      </c>
      <c r="N15" s="6">
        <f>G$5*N14+G$6*N13+G$7*N12+G$8*N11+G$9*N10+G$10*N9+G$11*N8+G$12*N7+G$13*N6+G$14*N5+H$5*M14+H$6*M13+H$7*M12+H$8*M11+H$9*M10+H$10*M9+H$11*M8+H$12*M7+H$13*M6+H$14*M5</f>
        <v>6.5168657290751469E-2</v>
      </c>
      <c r="R15" s="24">
        <f t="shared" si="4"/>
        <v>9</v>
      </c>
      <c r="S15" s="1">
        <v>37226</v>
      </c>
      <c r="T15" s="2">
        <v>5.7</v>
      </c>
      <c r="U15" s="27">
        <f t="shared" si="3"/>
        <v>5.6762400057613842</v>
      </c>
    </row>
    <row r="16" spans="1:21" x14ac:dyDescent="0.3">
      <c r="A16" s="18">
        <f t="shared" si="1"/>
        <v>11</v>
      </c>
      <c r="B16" s="18">
        <v>-0.22705258252132138</v>
      </c>
      <c r="C16" s="18">
        <v>0</v>
      </c>
      <c r="D16" s="18">
        <f t="shared" si="2"/>
        <v>0.47849770280938503</v>
      </c>
      <c r="F16" s="12">
        <v>12</v>
      </c>
      <c r="G16" s="12">
        <v>-0.220190716487557</v>
      </c>
      <c r="H16" s="12">
        <v>3.9486867049303702E-2</v>
      </c>
      <c r="L16" s="19">
        <f t="shared" si="5"/>
        <v>11</v>
      </c>
      <c r="M16" s="6">
        <f t="shared" si="0"/>
        <v>0.47849770280938503</v>
      </c>
      <c r="N16" s="6">
        <f>G$5*N15+G$6*N14+G$7*N13+G$8*N12+G$9*N11+G$10*N10+G$11*N9+G$12*N8+G$13*N7+G$14*N6+G$15*N5+H$5*M15+H$6*M14+H$7*M13+H$8*M12+H$9*M11+H$10*M10+H$11*M9+H$12*M8+H$13*M7+H$14*M6+H$15*M5</f>
        <v>8.6522769042750858E-2</v>
      </c>
      <c r="R16" s="24">
        <f t="shared" si="4"/>
        <v>10</v>
      </c>
      <c r="S16" s="1">
        <v>37257</v>
      </c>
      <c r="T16" s="2">
        <v>5.7</v>
      </c>
      <c r="U16" s="27">
        <f t="shared" si="3"/>
        <v>5.6348313427092487</v>
      </c>
    </row>
    <row r="17" spans="1:21" x14ac:dyDescent="0.3">
      <c r="A17" s="18">
        <f t="shared" si="1"/>
        <v>12</v>
      </c>
      <c r="B17" s="18">
        <v>-0.26780817224569409</v>
      </c>
      <c r="C17" s="18">
        <v>-0.37131012174514999</v>
      </c>
      <c r="D17" s="18">
        <f t="shared" si="2"/>
        <v>-0.33055453202077728</v>
      </c>
      <c r="F17" s="12">
        <f>F16+1</f>
        <v>13</v>
      </c>
      <c r="G17" s="12">
        <v>4.1647455402133701E-2</v>
      </c>
      <c r="H17" s="12">
        <v>-5.0517557020260798E-2</v>
      </c>
      <c r="L17" s="19">
        <f t="shared" si="5"/>
        <v>12</v>
      </c>
      <c r="M17" s="6">
        <f t="shared" si="0"/>
        <v>-0.33055453202077728</v>
      </c>
      <c r="N17" s="6">
        <f>G$5*N16+G$6*N15+G$7*N14+G$8*N13+G$9*N12+G$10*N11+G$11*N10+G$12*N9+G$13*N8+G$14*N7+G$15*N6+G$16*N5+H$5*M16+H$6*M15+H$7*M14+H$8*M13+H$9*M12+H$10*M11+H$11*M10+H$12*M9+H$13*M8+H$14*M7+H$15*M6+H$16*M5</f>
        <v>1.1385328556757571E-2</v>
      </c>
      <c r="R17" s="24">
        <f t="shared" si="4"/>
        <v>11</v>
      </c>
      <c r="S17" s="1">
        <v>37288</v>
      </c>
      <c r="T17" s="2">
        <v>5.7</v>
      </c>
      <c r="U17" s="27">
        <f t="shared" si="3"/>
        <v>5.6134772309572494</v>
      </c>
    </row>
    <row r="18" spans="1:21" x14ac:dyDescent="0.3">
      <c r="A18" s="18">
        <f t="shared" si="1"/>
        <v>13</v>
      </c>
      <c r="B18" s="18">
        <v>-0.7455141928047222</v>
      </c>
      <c r="C18" s="18">
        <v>0</v>
      </c>
      <c r="D18" s="18">
        <f t="shared" si="2"/>
        <v>0.8490161423041781</v>
      </c>
      <c r="F18" s="12">
        <f t="shared" ref="F18:F40" si="6">F17+1</f>
        <v>14</v>
      </c>
      <c r="G18" s="12">
        <v>-7.8565737942714001E-2</v>
      </c>
      <c r="H18" s="12">
        <v>-9.6150662902674301E-3</v>
      </c>
      <c r="L18" s="19">
        <f t="shared" si="5"/>
        <v>13</v>
      </c>
      <c r="M18" s="6">
        <f t="shared" si="0"/>
        <v>0.8490161423041781</v>
      </c>
      <c r="N18" s="6">
        <f>G$5*N17+G$6*N16+G$7*N15+G$8*N14+G$9*N13+G$10*N12+G$11*N11+G$12*N10+G$13*N9+G$14*N8+G$15*N7+G$16*N6+G$17*N5+H$5*M17+H$6*M16+H$7*M15+H$8*M14+H$9*M13+H$10*M12+H$11*M11+H$12*M10+H$13*M9+H$14*M8+H$15*M7+H$16*M6+H$17*M5</f>
        <v>0.107145507567868</v>
      </c>
      <c r="R18" s="24">
        <f t="shared" si="4"/>
        <v>12</v>
      </c>
      <c r="S18" s="1">
        <v>37316</v>
      </c>
      <c r="T18" s="2">
        <v>5.7</v>
      </c>
      <c r="U18" s="27">
        <f t="shared" si="3"/>
        <v>5.6886146714432426</v>
      </c>
    </row>
    <row r="19" spans="1:21" x14ac:dyDescent="0.3">
      <c r="A19" s="18">
        <f t="shared" si="1"/>
        <v>14</v>
      </c>
      <c r="B19" s="18">
        <v>-0.77052338362643491</v>
      </c>
      <c r="C19" s="18">
        <v>0.19231464395269601</v>
      </c>
      <c r="D19" s="18">
        <f t="shared" si="2"/>
        <v>0.21732383477440873</v>
      </c>
      <c r="F19" s="12">
        <f t="shared" si="6"/>
        <v>15</v>
      </c>
      <c r="G19" s="12">
        <v>0.14423426554972599</v>
      </c>
      <c r="H19" s="12">
        <v>-1.18386675031509E-2</v>
      </c>
      <c r="L19" s="19">
        <f t="shared" si="5"/>
        <v>14</v>
      </c>
      <c r="M19" s="6">
        <f t="shared" si="0"/>
        <v>0.21732383477440873</v>
      </c>
      <c r="N19" s="6">
        <f>G$5*N18+G$6*N17+G$7*N16+G$8*N15+G$9*N14+G$10*N13+G$11*N12+G$12*N11+G$13*N10+G$14*N9+G$15*N8+G$16*N7+G$17*N6+G$18*N5+H$5*M18+H$6*M17+H$7*M16+H$8*M15+H$9*M14+H$10*M13+H$11*M12+H$12*M11+H$13*M10+H$14*M9+H$15*M8+H$16*M7+H$17*M6+H$18*M5</f>
        <v>3.7904342757372186E-2</v>
      </c>
      <c r="R19" s="24">
        <f t="shared" si="4"/>
        <v>13</v>
      </c>
      <c r="S19" s="1">
        <v>37347</v>
      </c>
      <c r="T19" s="2">
        <v>5.9</v>
      </c>
      <c r="U19" s="27">
        <f t="shared" si="3"/>
        <v>5.7928544924321326</v>
      </c>
    </row>
    <row r="20" spans="1:21" x14ac:dyDescent="0.3">
      <c r="A20" s="18">
        <f t="shared" si="1"/>
        <v>15</v>
      </c>
      <c r="B20" s="18">
        <v>-0.79117136572166946</v>
      </c>
      <c r="C20" s="18">
        <v>5.5005490691278601E-2</v>
      </c>
      <c r="D20" s="18">
        <f t="shared" si="2"/>
        <v>-0.11666117116618285</v>
      </c>
      <c r="F20" s="12">
        <f t="shared" si="6"/>
        <v>16</v>
      </c>
      <c r="G20" s="12">
        <v>8.3197230368548397E-2</v>
      </c>
      <c r="H20" s="12">
        <v>-3.0026620796342E-2</v>
      </c>
      <c r="L20" s="19">
        <f t="shared" si="5"/>
        <v>15</v>
      </c>
      <c r="M20" s="6">
        <f t="shared" si="0"/>
        <v>-0.11666117116618285</v>
      </c>
      <c r="N20" s="6">
        <f>G$5*N19+G$6*N18+G$7*N17+G$8*N16+G$9*N15+G$10*N14+G$11*N13+G$12*N12+G$13*N11+G$14*N10+G$15*N9+G$16*N8+G$17*N7+G$18*N6+G$19*N5+H$5*M19+H$6*M18+H$7*M17+H$8*M16+H$9*M15+H$10*M14+H$11*M13+H$12*M12+H$13*M11+H$14*M10+H$15*M9+H$16*M8+H$17*M7+H$18*M6+H$19*M5</f>
        <v>8.6262858842787171E-2</v>
      </c>
      <c r="R20" s="24">
        <f t="shared" si="4"/>
        <v>14</v>
      </c>
      <c r="S20" s="1">
        <v>37377</v>
      </c>
      <c r="T20" s="2">
        <v>5.8</v>
      </c>
      <c r="U20" s="27">
        <f t="shared" si="3"/>
        <v>5.7620956572426278</v>
      </c>
    </row>
    <row r="21" spans="1:21" x14ac:dyDescent="0.3">
      <c r="A21" s="18">
        <f t="shared" si="1"/>
        <v>16</v>
      </c>
      <c r="B21" s="18">
        <v>-0.38910295499303871</v>
      </c>
      <c r="C21" s="18">
        <v>0</v>
      </c>
      <c r="D21" s="18">
        <f t="shared" si="2"/>
        <v>-0.45707390141990933</v>
      </c>
      <c r="F21" s="12">
        <f t="shared" si="6"/>
        <v>17</v>
      </c>
      <c r="G21" s="12">
        <v>-7.2815925492130201E-2</v>
      </c>
      <c r="H21" s="12">
        <v>9.8576495093000201E-3</v>
      </c>
      <c r="L21" s="19">
        <f t="shared" si="5"/>
        <v>16</v>
      </c>
      <c r="M21" s="6">
        <f t="shared" si="0"/>
        <v>-0.45707390141990933</v>
      </c>
      <c r="N21" s="6">
        <f>G$5*N20+G$6*N19+G$7*N18+G$8*N17+G$9*N16+G$10*N15+G$11*N14+G$12*N13+G$13*N12+G$14*N11+G$15*N10+G$16*N9+G$17*N8+G$18*N7+G$19*N6+G$20*N5+H$5*M20+H$6*M19+H$7*M18+H$8*M17+H$9*M16+H$10*M15+H$11*M14+H$12*M13+H$13*M12+H$14*M11+H$15*M10+H$16*M9+H$17*M8+H$18*M7+H$19*M6+H$20*M5</f>
        <v>5.8934477210178637E-2</v>
      </c>
      <c r="R21" s="24">
        <f t="shared" si="4"/>
        <v>15</v>
      </c>
      <c r="S21" s="1">
        <v>37408</v>
      </c>
      <c r="T21" s="2">
        <v>5.8</v>
      </c>
      <c r="U21" s="27">
        <f t="shared" si="3"/>
        <v>5.7137371411572122</v>
      </c>
    </row>
    <row r="22" spans="1:21" x14ac:dyDescent="0.3">
      <c r="A22" s="18">
        <f t="shared" si="1"/>
        <v>17</v>
      </c>
      <c r="B22" s="18">
        <v>-0.35699991673522735</v>
      </c>
      <c r="C22" s="18">
        <v>0.167656338637858</v>
      </c>
      <c r="D22" s="18">
        <f t="shared" si="2"/>
        <v>0.13555330038004665</v>
      </c>
      <c r="F22" s="12">
        <f t="shared" si="6"/>
        <v>18</v>
      </c>
      <c r="G22" s="12">
        <v>1.29874536664264E-2</v>
      </c>
      <c r="H22" s="12">
        <v>4.8930777648494697E-2</v>
      </c>
      <c r="L22" s="19">
        <f t="shared" si="5"/>
        <v>17</v>
      </c>
      <c r="M22" s="6">
        <f t="shared" si="0"/>
        <v>0.13555330038004665</v>
      </c>
      <c r="N22" s="6">
        <f>G$5*N21+G$6*N20+G$7*N19+G$8*N18+G$9*N17+G$10*N16+G$11*N15+G$12*N14+G$13*N13+G$14*N12+G$15*N11+G$16*N10+G$17*N9+G$18*N8+G$19*N7+G$20*N6+G$21*N5+H$5*M21+H$6*M20+H$7*M19+H$8*M18+H$9*M17+H$10*M16+H$11*M15+H$12*M14+H$13*M13+H$14*M12+H$15*M11+H$16*M10+H$17*M9+H$18*M8+H$19*M7+H$20*M6+H$21*M5</f>
        <v>7.3182401152435284E-3</v>
      </c>
      <c r="R22" s="24">
        <f t="shared" si="4"/>
        <v>16</v>
      </c>
      <c r="S22" s="1">
        <v>37438</v>
      </c>
      <c r="T22" s="2">
        <v>5.8</v>
      </c>
      <c r="U22" s="27">
        <f t="shared" si="3"/>
        <v>5.7410655227898211</v>
      </c>
    </row>
    <row r="23" spans="1:21" x14ac:dyDescent="0.3">
      <c r="A23" s="18">
        <f t="shared" si="1"/>
        <v>18</v>
      </c>
      <c r="B23" s="18">
        <v>-0.38261919501707686</v>
      </c>
      <c r="C23" s="18">
        <v>-2.6493875704896998E-2</v>
      </c>
      <c r="D23" s="18">
        <f t="shared" si="2"/>
        <v>-0.1685309360609055</v>
      </c>
      <c r="F23" s="12">
        <f t="shared" si="6"/>
        <v>19</v>
      </c>
      <c r="G23" s="12">
        <v>2.44131273447581E-2</v>
      </c>
      <c r="H23" s="12">
        <v>2.4252080980813401E-2</v>
      </c>
      <c r="L23" s="19">
        <f t="shared" si="5"/>
        <v>18</v>
      </c>
      <c r="M23" s="6">
        <f t="shared" si="0"/>
        <v>-0.1685309360609055</v>
      </c>
      <c r="N23" s="6">
        <f>G$5*N22+G$6*N21+G$7*N20+G$8*N19+G$9*N18+G$10*N17+G$11*N16+G$12*N15+G$13*N14+G$14*N13+G$15*N12+G$16*N11+G$17*N10+G$18*N9+G$19*N8+G$20*N7+G$21*N6+G$22*N5+H$5*M22+H$6*M21+H$7*M20+H$8*M19+H$9*M18+H$10*M17+H$11*M16+H$12*M15+H$13*M14+H$14*M13+H$15*M12+H$16*M11+H$17*M10+H$18*M9+H$19*M8+H$20*M7+H$21*M6+H$22*M5</f>
        <v>4.0883085712957692E-2</v>
      </c>
      <c r="R23" s="24">
        <f t="shared" si="4"/>
        <v>17</v>
      </c>
      <c r="S23" s="1">
        <v>37469</v>
      </c>
      <c r="T23" s="2">
        <v>5.7</v>
      </c>
      <c r="U23" s="27">
        <f t="shared" si="3"/>
        <v>5.6926817598847563</v>
      </c>
    </row>
    <row r="24" spans="1:21" x14ac:dyDescent="0.3">
      <c r="A24" s="18">
        <f t="shared" si="1"/>
        <v>19</v>
      </c>
      <c r="B24" s="18">
        <v>-1.0021727302419847</v>
      </c>
      <c r="C24" s="18">
        <v>-0.251912957644853</v>
      </c>
      <c r="D24" s="18">
        <f t="shared" si="2"/>
        <v>0.39413445328495189</v>
      </c>
      <c r="F24" s="12">
        <f t="shared" si="6"/>
        <v>20</v>
      </c>
      <c r="G24" s="12">
        <v>-5.7319371233362303E-2</v>
      </c>
      <c r="H24" s="12">
        <v>3.2762188897438503E-2</v>
      </c>
      <c r="L24" s="19">
        <f t="shared" si="5"/>
        <v>19</v>
      </c>
      <c r="M24" s="6">
        <f t="shared" si="0"/>
        <v>0.39413445328495189</v>
      </c>
      <c r="N24" s="6">
        <f>G$5*N23+G$6*N22+G$7*N21+G$8*N20+G$9*N19+G$10*N18+G$11*N17+G$12*N16+G$13*N15+G$14*N14+G$15*N13+G$16*N12+G$17*N11+G$18*N10+G$19*N9+G$20*N8+G$21*N7+G$22*N6+G$23*N5+H$5*M23+H$6*M22+H$7*M21+H$8*M20+H$9*M19+H$10*M18+H$11*M17+H$12*M16+H$13*M15+H$14*M14+H$15*M13+H$16*M12+H$17*M11+H$18*M10+H$19*M9+H$20*M8+H$21*M7+H$22*M6+H$23*M5</f>
        <v>5.0925402569607613E-2</v>
      </c>
      <c r="R24" s="24">
        <f t="shared" si="4"/>
        <v>18</v>
      </c>
      <c r="S24" s="1">
        <v>37500</v>
      </c>
      <c r="T24" s="2">
        <v>5.7</v>
      </c>
      <c r="U24" s="27">
        <f t="shared" si="3"/>
        <v>5.6591169142870426</v>
      </c>
    </row>
    <row r="25" spans="1:21" x14ac:dyDescent="0.3">
      <c r="A25" s="18">
        <f t="shared" si="1"/>
        <v>20</v>
      </c>
      <c r="B25" s="18">
        <v>-0.94863592770245708</v>
      </c>
      <c r="C25" s="18">
        <v>0</v>
      </c>
      <c r="D25" s="18">
        <f t="shared" si="2"/>
        <v>0.19837615510532536</v>
      </c>
      <c r="F25" s="12">
        <f t="shared" si="6"/>
        <v>21</v>
      </c>
      <c r="G25" s="12">
        <v>4.3042009740897599E-2</v>
      </c>
      <c r="H25" s="12">
        <v>-3.1267653525346301E-2</v>
      </c>
      <c r="L25" s="19">
        <f t="shared" si="5"/>
        <v>20</v>
      </c>
      <c r="M25" s="6">
        <f t="shared" si="0"/>
        <v>0.19837615510532536</v>
      </c>
      <c r="N25" s="6">
        <f>G$5*N24+G$6*N23+G$7*N22+G$8*N21+G$9*N20+G$10*N19+G$11*N18+G$12*N17+G$13*N16+G$14*N15+G$15*N14+G$16*N13+G$17*N12+G$18*N11+G$19*N10+G$20*N9+G$21*N8+G$22*N7+G$23*N6+G$24*N5+H$5*M24+H$6*M23+H$7*M22+H$8*M21+H$9*M20+H$10*M19+H$11*M18+H$12*M17+H$13*M16+H$14*M15+H$15*M14+H$16*M13+H$17*M12+H$18*M11+H$19*M10+H$20*M9+H$21*M8+H$22*M7+H$23*M6+H$24*M5</f>
        <v>1.8407084659230598E-2</v>
      </c>
      <c r="R25" s="24">
        <f t="shared" si="4"/>
        <v>19</v>
      </c>
      <c r="S25" s="1">
        <v>37530</v>
      </c>
      <c r="T25" s="2">
        <v>5.7</v>
      </c>
      <c r="U25" s="27">
        <f t="shared" si="3"/>
        <v>5.6490745974303929</v>
      </c>
    </row>
    <row r="26" spans="1:21" x14ac:dyDescent="0.3">
      <c r="A26" s="18">
        <f t="shared" si="1"/>
        <v>21</v>
      </c>
      <c r="B26" s="18">
        <v>-1.0035682401966717</v>
      </c>
      <c r="C26" s="18">
        <v>1.5527443141778599E-2</v>
      </c>
      <c r="D26" s="18">
        <f t="shared" si="2"/>
        <v>7.0459755635993201E-2</v>
      </c>
      <c r="F26" s="12">
        <f t="shared" si="6"/>
        <v>22</v>
      </c>
      <c r="G26" s="12">
        <v>-1.01988938661373E-2</v>
      </c>
      <c r="H26" s="12">
        <v>4.6005498801310503E-2</v>
      </c>
      <c r="L26" s="19">
        <f t="shared" si="5"/>
        <v>21</v>
      </c>
      <c r="M26" s="6">
        <f t="shared" si="0"/>
        <v>7.0459755635993201E-2</v>
      </c>
      <c r="N26" s="6">
        <f>G$5*N25+G$6*N24+G$7*N23+G$8*N22+G$9*N21+G$10*N20+G$11*N19+G$12*N18+G$13*N17+G$14*N16+G$15*N15+G$16*N14+G$17*N13+G$18*N12+G$19*N11+G$20*N10+G$21*N9+G$22*N8+G$23*N7+G$24*N6+G$25*N5+H$5*M25+H$6*M24+H$7*M23+H$8*M22+H$9*M21+H$10*M20+H$11*M19+H$12*M18+H$13*M17+H$14*M16+H$15*M15+H$16*M14+H$17*M13+H$18*M12+H$19*M11+H$20*M10+H$21*M9+H$22*M8+H$23*M7+H$24*M6+H$25*M5</f>
        <v>7.3470997404095045E-2</v>
      </c>
      <c r="R26" s="24">
        <f t="shared" si="4"/>
        <v>20</v>
      </c>
      <c r="S26" s="1">
        <v>37561</v>
      </c>
      <c r="T26" s="2">
        <v>5.9</v>
      </c>
      <c r="U26" s="27">
        <f t="shared" si="3"/>
        <v>5.8815929153407698</v>
      </c>
    </row>
    <row r="27" spans="1:21" x14ac:dyDescent="0.3">
      <c r="A27" s="18">
        <f t="shared" si="1"/>
        <v>22</v>
      </c>
      <c r="B27" s="18">
        <v>-1.1497362286477699</v>
      </c>
      <c r="C27" s="18">
        <v>8.5891849214094207E-3</v>
      </c>
      <c r="D27" s="18">
        <f t="shared" si="2"/>
        <v>0.13922973023072907</v>
      </c>
      <c r="F27" s="12">
        <f t="shared" si="6"/>
        <v>23</v>
      </c>
      <c r="G27" s="12">
        <v>2.8621138864871699E-2</v>
      </c>
      <c r="H27" s="12">
        <v>4.05654399137911E-2</v>
      </c>
      <c r="L27" s="19">
        <f t="shared" si="5"/>
        <v>22</v>
      </c>
      <c r="M27" s="6">
        <f t="shared" si="0"/>
        <v>0.13922973023072907</v>
      </c>
      <c r="N27" s="6">
        <f>G$5*N26+G$6*N25+G$7*N24+G$8*N23+G$9*N22+G$10*N21+G$11*N20+G$12*N19+G$13*N18+G$14*N17+G$15*N16+G$16*N15+G$17*N14+G$18*N13+G$19*N12+G$20*N11+G$21*N10+G$22*N9+G$23*N8+G$24*N7+G$25*N6+G$26*N5+H$5*M26+H$6*M25+H$7*M24+H$8*M23+H$9*M22+H$10*M21+H$11*M20+H$12*M19+H$13*M18+H$14*M17+H$15*M16+H$16*M15+H$17*M14+H$18*M13+H$19*M12+H$20*M11+H$21*M10+H$22*M9+H$23*M8+H$24*M7+H$25*M6+H$26*M5</f>
        <v>3.5220383386408947E-2</v>
      </c>
      <c r="R27" s="24">
        <f t="shared" si="4"/>
        <v>21</v>
      </c>
      <c r="S27" s="1">
        <v>37591</v>
      </c>
      <c r="T27" s="2">
        <v>6</v>
      </c>
      <c r="U27" s="27">
        <f t="shared" si="3"/>
        <v>5.9265290025959052</v>
      </c>
    </row>
    <row r="28" spans="1:21" x14ac:dyDescent="0.3">
      <c r="A28" s="18">
        <f t="shared" si="1"/>
        <v>23</v>
      </c>
      <c r="B28" s="18">
        <v>-1.3310847360959319</v>
      </c>
      <c r="C28" s="18">
        <v>0</v>
      </c>
      <c r="D28" s="18">
        <f t="shared" si="2"/>
        <v>0.17275932252675258</v>
      </c>
      <c r="F28" s="12">
        <f t="shared" si="6"/>
        <v>24</v>
      </c>
      <c r="G28" s="12">
        <v>-5.5855041824478001E-2</v>
      </c>
      <c r="H28" s="12">
        <v>4.2776729900653503E-2</v>
      </c>
      <c r="L28" s="19">
        <f t="shared" si="5"/>
        <v>23</v>
      </c>
      <c r="M28" s="6">
        <f t="shared" si="0"/>
        <v>0.17275932252675258</v>
      </c>
      <c r="N28" s="6">
        <f>G$5*N27+G$6*N26+G$7*N25+G$8*N24+G$9*N23+G$10*N22+G$11*N21+G$12*N20+G$13*N19+G$14*N18+G$15*N17+G$16*N16+G$17*N15+G$18*N14+G$19*N13+G$20*N12+G$21*N11+G$22*N10+G$23*N9+G$24*N8+G$25*N7+G$26*N6+G$27*N5+H$5*M27+H$6*M26+H$7*M25+H$8*M24+H$9*M23+H$10*M22+H$11*M21+H$12*M20+H$13*M19+H$14*M18+H$15*M17+H$16*M16+H$17*M15+H$18*M14+H$19*M13+H$20*M12+H$21*M11+H$22*M10+H$23*M9+H$24*M8+H$25*M7+H$26*M6+H$27*M5</f>
        <v>0.10536795434649199</v>
      </c>
      <c r="R28" s="24">
        <f t="shared" si="4"/>
        <v>22</v>
      </c>
      <c r="S28" s="1">
        <v>37622</v>
      </c>
      <c r="T28" s="2">
        <v>5.8</v>
      </c>
      <c r="U28" s="27">
        <f t="shared" si="3"/>
        <v>5.7647796166135912</v>
      </c>
    </row>
    <row r="29" spans="1:21" x14ac:dyDescent="0.3">
      <c r="A29" s="18">
        <f t="shared" si="1"/>
        <v>24</v>
      </c>
      <c r="B29" s="18">
        <v>-1.7255592774870996</v>
      </c>
      <c r="C29" s="18">
        <v>5.0218676719284198E-2</v>
      </c>
      <c r="D29" s="18">
        <f t="shared" si="2"/>
        <v>0.44469321811045187</v>
      </c>
      <c r="F29" s="12">
        <f t="shared" si="6"/>
        <v>25</v>
      </c>
      <c r="H29" s="12">
        <v>3.7082383633426003E-2</v>
      </c>
      <c r="L29" s="19">
        <f t="shared" si="5"/>
        <v>24</v>
      </c>
      <c r="M29" s="6">
        <f t="shared" si="0"/>
        <v>0.44469321811045187</v>
      </c>
      <c r="N29" s="6">
        <f>G$5*N28+G$6*N27+G$7*N26+G$8*N25+G$9*N24+G$10*N23+G$11*N22+G$12*N21+G$13*N20+G$14*N19+G$15*N18+G$16*N17+G$17*N16+G$18*N15+G$19*N14+G$20*N13+G$21*N12+G$22*N11+G$23*N10+G$24*N9+G$25*N8+G$26*N7+G$27*N6+G$28*N5+H$5*M28+H$6*M27+H$7*M26+H$8*M25+H$9*M24+H$10*M23+H$11*M22+H$12*M21+H$13*M20+H$14*M19+H$15*M18+H$16*M17+H$17*M16+H$18*M15+H$19*M14+H$20*M13+H$21*M12+H$22*M11+H$23*M10+H$24*M9+H$25*M8+H$26*M7+H$27*M6+H$28*M5</f>
        <v>8.4031508739480468E-2</v>
      </c>
      <c r="R29" s="24">
        <f t="shared" si="4"/>
        <v>23</v>
      </c>
      <c r="S29" s="1">
        <v>37653</v>
      </c>
      <c r="T29" s="2">
        <v>5.9</v>
      </c>
      <c r="U29" s="27">
        <f t="shared" si="3"/>
        <v>5.7946320456535085</v>
      </c>
    </row>
    <row r="30" spans="1:21" x14ac:dyDescent="0.3">
      <c r="A30" s="18">
        <f t="shared" si="1"/>
        <v>25</v>
      </c>
      <c r="B30" s="18">
        <v>-1.8250158212836534</v>
      </c>
      <c r="C30" s="18">
        <v>0</v>
      </c>
      <c r="D30" s="18">
        <f t="shared" si="2"/>
        <v>4.9237867077269577E-2</v>
      </c>
      <c r="F30" s="12">
        <f t="shared" si="6"/>
        <v>26</v>
      </c>
      <c r="H30" s="12">
        <v>-3.9905718272175698E-2</v>
      </c>
      <c r="L30" s="19">
        <f t="shared" si="5"/>
        <v>25</v>
      </c>
      <c r="M30" s="6">
        <f t="shared" si="0"/>
        <v>4.9237867077269577E-2</v>
      </c>
      <c r="N30" s="6">
        <f>G$5*N29+G$6*N28+G$7*N27+G$8*N26+G$9*N25+G$10*N24+G$11*N23+G$12*N22+G$13*N21+G$14*N20+G$15*N19+G$16*N18+G$17*N17+G$18*N16+G$19*N15+G$20*N14+G$21*N13+G$22*N12+G$23*N11+G$24*N10+G$25*N9+G$26*N8+G$27*N7+G$28*N6+G$29*N5+H$5*M29+H$6*M28+H$7*M27+H$8*M26+H$9*M25+H$10*M24+H$11*M23+H$12*M22+H$13*M21+H$14*M20+H$15*M19+H$16*M18+H$17*M17+H$18*M16+H$19*M15+H$20*M14+H$21*M13+H$22*M12+H$23*M11+H$24*M10+H$25*M9+H$26*M8+H$27*M7+H$28*M6+H$29*M5</f>
        <v>0.1362419969496414</v>
      </c>
      <c r="R30" s="24">
        <f t="shared" si="4"/>
        <v>24</v>
      </c>
      <c r="S30" s="1">
        <v>37681</v>
      </c>
      <c r="T30" s="2">
        <v>5.9</v>
      </c>
      <c r="U30" s="27">
        <f t="shared" si="3"/>
        <v>5.8159684912605201</v>
      </c>
    </row>
    <row r="31" spans="1:21" x14ac:dyDescent="0.3">
      <c r="A31" s="18">
        <f t="shared" si="1"/>
        <v>26</v>
      </c>
      <c r="B31" s="18">
        <v>-1.8881397543094716</v>
      </c>
      <c r="C31" s="18">
        <v>1.0041572539372301E-2</v>
      </c>
      <c r="D31" s="18">
        <f t="shared" si="2"/>
        <v>7.3165505565190497E-2</v>
      </c>
      <c r="F31" s="12">
        <f t="shared" si="6"/>
        <v>27</v>
      </c>
      <c r="H31" s="12">
        <v>4.9088911583572998E-3</v>
      </c>
      <c r="L31" s="19">
        <f t="shared" si="5"/>
        <v>26</v>
      </c>
      <c r="M31" s="6">
        <f t="shared" si="0"/>
        <v>7.3165505565190497E-2</v>
      </c>
      <c r="N31" s="6">
        <f>G$5*N30+G$6*N29+G$7*N28+G$8*N27+G$9*N26+G$10*N25+G$11*N24+G$12*N23+G$13*N22+G$14*N21+G$15*N20+G$16*N19+G$17*N18+G$18*N17+G$19*N16+G$20*N15+G$21*N14+G$22*N13+G$23*N12+G$24*N11+G$25*N10+G$26*N9+G$27*N8+G$28*N7+G$29*N6+G$30*N5+H$5*M30+H$6*M29+H$7*M28+H$8*M27+H$9*M26+H$10*M25+H$11*M24+H$12*M23+H$13*M22+H$14*M21+H$15*M20+H$16*M19+H$17*M18+H$18*M17+H$19*M16+H$20*M15+H$21*M14+H$22*M13+H$23*M12+H$24*M11+H$25*M10+H$26*M9+H$27*M8+H$28*M7+H$29*M6+H$30*M5</f>
        <v>0.19584826621313936</v>
      </c>
      <c r="R31" s="24">
        <f t="shared" si="4"/>
        <v>25</v>
      </c>
      <c r="S31" s="1">
        <v>37712</v>
      </c>
      <c r="T31" s="2">
        <v>6</v>
      </c>
      <c r="U31" s="27">
        <f t="shared" si="3"/>
        <v>5.8637580030503589</v>
      </c>
    </row>
    <row r="32" spans="1:21" x14ac:dyDescent="0.3">
      <c r="A32" s="18">
        <f t="shared" si="1"/>
        <v>27</v>
      </c>
      <c r="B32" s="18">
        <v>-1.8964142361730001</v>
      </c>
      <c r="C32" s="18">
        <v>-0.198262888927072</v>
      </c>
      <c r="D32" s="18">
        <f t="shared" si="2"/>
        <v>-0.20002997960291577</v>
      </c>
      <c r="F32" s="12">
        <f t="shared" si="6"/>
        <v>28</v>
      </c>
      <c r="H32" s="12">
        <v>1.3975411502221599E-2</v>
      </c>
      <c r="L32" s="19">
        <f t="shared" si="5"/>
        <v>27</v>
      </c>
      <c r="M32" s="6">
        <f t="shared" si="0"/>
        <v>-0.20002997960291577</v>
      </c>
      <c r="N32" s="6">
        <f>G$5*N31+G$6*N30+G$7*N29+G$8*N28+G$9*N27+G$10*N26+G$11*N25+G$12*N24+G$13*N23+G$14*N22+G$15*N21+G$16*N20+G$17*N19+G$18*N18+G$19*N17+G$20*N16+G$21*N15+G$22*N14+G$23*N13+G$24*N12+G$25*N11+G$26*N10+G$27*N9+G$28*N8+G$29*N7+G$30*N6+G$31*N5+H$5*M31+H$6*M30+H$7*M29+H$8*M28+H$9*M27+H$10*M26+H$11*M25+H$12*M24+H$13*M23+H$14*M22+H$15*M21+H$16*M20+H$17*M19+H$18*M18+H$19*M17+H$20*M16+H$21*M15+H$22*M14+H$23*M13+H$24*M12+H$25*M11+H$26*M10+H$27*M9+H$28*M8+H$29*M7+H$30*M6+H$31*M5</f>
        <v>0.13683012948496798</v>
      </c>
      <c r="R32" s="24">
        <f t="shared" si="4"/>
        <v>26</v>
      </c>
      <c r="S32" s="1">
        <v>37742</v>
      </c>
      <c r="T32" s="2">
        <v>6.1</v>
      </c>
      <c r="U32" s="27">
        <f t="shared" si="3"/>
        <v>5.9041517337868603</v>
      </c>
    </row>
    <row r="33" spans="1:21" x14ac:dyDescent="0.3">
      <c r="A33" s="18">
        <f t="shared" si="1"/>
        <v>28</v>
      </c>
      <c r="B33" s="18">
        <v>-2.0878114605761344</v>
      </c>
      <c r="C33" s="18">
        <v>0</v>
      </c>
      <c r="D33" s="18">
        <f t="shared" si="2"/>
        <v>0.38966011333020634</v>
      </c>
      <c r="F33" s="12">
        <f t="shared" si="6"/>
        <v>29</v>
      </c>
      <c r="H33" s="12">
        <v>-3.24018436557564E-2</v>
      </c>
      <c r="L33" s="19">
        <f t="shared" si="5"/>
        <v>28</v>
      </c>
      <c r="M33" s="6">
        <f t="shared" si="0"/>
        <v>0.38966011333020634</v>
      </c>
      <c r="N33" s="6">
        <f>G$5*N32+G$6*N31+G$7*N30+G$8*N29+G$9*N28+G$10*N27+G$11*N26+G$12*N25+G$13*N24+G$14*N23+G$15*N22+G$16*N21+G$17*N20+G$18*N19+G$19*N18+G$20*N17+G$21*N16+G$22*N15+G$23*N14+G$24*N13+G$25*N12+G$26*N11+G$27*N10+G$28*N9+G$29*N8+G$30*N7+G$31*N6+G$32*N5+H$5*M32+H$6*M31+H$7*M30+H$8*M29+H$9*M28+H$10*M27+H$11*M26+H$12*M25+H$13*M24+H$14*M23+H$15*M22+H$16*M21+H$17*M20+H$18*M19+H$19*M18+H$20*M17+H$21*M16+H$22*M15+H$23*M14+H$24*M13+H$25*M12+H$26*M11+H$27*M10+H$28*M9+H$29*M8+H$30*M7+H$31*M6+H$32*M5</f>
        <v>0.21015203688691425</v>
      </c>
      <c r="R33" s="24">
        <f t="shared" si="4"/>
        <v>27</v>
      </c>
      <c r="S33" s="1">
        <v>37773</v>
      </c>
      <c r="T33" s="2">
        <v>6.3</v>
      </c>
      <c r="U33" s="27">
        <f t="shared" si="3"/>
        <v>6.1631698705150315</v>
      </c>
    </row>
    <row r="34" spans="1:21" x14ac:dyDescent="0.3">
      <c r="A34" s="18">
        <f t="shared" si="1"/>
        <v>29</v>
      </c>
      <c r="B34" s="18">
        <v>-2.0303631371743482</v>
      </c>
      <c r="C34" s="18">
        <v>-6.0005842558297703E-2</v>
      </c>
      <c r="D34" s="18">
        <f t="shared" si="2"/>
        <v>-0.11745416596008389</v>
      </c>
      <c r="F34" s="12">
        <f t="shared" si="6"/>
        <v>30</v>
      </c>
      <c r="H34" s="12">
        <v>-6.9400938591176006E-2</v>
      </c>
      <c r="L34" s="19">
        <f t="shared" si="5"/>
        <v>29</v>
      </c>
      <c r="M34" s="6">
        <f t="shared" si="0"/>
        <v>-0.11745416596008389</v>
      </c>
      <c r="N34" s="6">
        <f>G$5*N33+G$6*N32+G$7*N31+G$8*N30+G$9*N29+G$10*N28+G$11*N27+G$12*N26+G$13*N25+G$14*N24+G$15*N23+G$16*N22+G$17*N21+G$18*N20+G$19*N19+G$20*N18+G$21*N17+G$22*N16+G$23*N15+G$24*N14+G$25*N13+G$26*N12+G$27*N11+G$28*N10+G$29*N9+G$30*N8+G$31*N7+G$32*N6+G$33*N5+H$5*M33+H$6*M32+H$7*M31+H$8*M30+H$9*M29+H$10*M28+H$11*M27+H$12*M26+H$13*M25+H$14*M24+H$15*M23+H$16*M22+H$17*M21+H$18*M20+H$19*M19+H$20*M18+H$21*M17+H$22*M16+H$23*M15+H$24*M14+H$25*M13+H$26*M12+H$27*M11+H$28*M10+H$29*M9+H$30*M8+H$31*M7+H$32*M6+H$33*M5</f>
        <v>0.20418568379886309</v>
      </c>
      <c r="R34" s="24">
        <f t="shared" si="4"/>
        <v>28</v>
      </c>
      <c r="S34" s="1">
        <v>37803</v>
      </c>
      <c r="T34" s="2">
        <v>6.2</v>
      </c>
      <c r="U34" s="27">
        <f t="shared" si="3"/>
        <v>5.9898479631130863</v>
      </c>
    </row>
    <row r="35" spans="1:21" x14ac:dyDescent="0.3">
      <c r="A35" s="18">
        <f t="shared" si="1"/>
        <v>30</v>
      </c>
      <c r="B35" s="18">
        <v>-2.0795543484615879</v>
      </c>
      <c r="C35" s="18">
        <v>-0.19406701780909499</v>
      </c>
      <c r="D35" s="18">
        <f t="shared" si="2"/>
        <v>-8.4869963963557615E-2</v>
      </c>
      <c r="F35" s="12">
        <f t="shared" si="6"/>
        <v>31</v>
      </c>
      <c r="H35" s="12">
        <v>1.26693791869104E-2</v>
      </c>
      <c r="L35" s="19">
        <f t="shared" si="5"/>
        <v>30</v>
      </c>
      <c r="M35" s="6">
        <f t="shared" si="0"/>
        <v>-8.4869963963557615E-2</v>
      </c>
      <c r="N35" s="6">
        <f>G$5*N34+G$6*N33+G$7*N32+G$8*N31+G$9*N30+G$10*N29+G$11*N28+G$12*N27+G$13*N26+G$14*N25+G$15*N24+G$16*N23+G$17*N22+G$18*N21+G$19*N20+G$20*N19+G$21*N18+G$22*N17+G$23*N16+G$24*N15+G$25*N14+G$26*N13+G$27*N12+G$28*N11+G$29*N10+G$30*N9+G$31*N8+G$32*N7+G$33*N6+G$34*N5+H$5*M34+H$6*M33+H$7*M32+H$8*M31+H$9*M30+H$10*M29+H$11*M28+H$12*M27+H$13*M26+H$14*M25+H$15*M24+H$16*M23+H$17*M22+H$18*M21+H$19*M20+H$20*M19+H$21*M18+H$22*M17+H$23*M16+H$24*M15+H$25*M14+H$26*M13+H$27*M12+H$28*M11+H$29*M10+H$30*M9+H$31*M8+H$32*M7+H$33*M6+H$34*M5</f>
        <v>0.22413213381500419</v>
      </c>
      <c r="R35" s="24">
        <f t="shared" si="4"/>
        <v>29</v>
      </c>
      <c r="S35" s="1">
        <v>37834</v>
      </c>
      <c r="T35" s="2">
        <v>6.1</v>
      </c>
      <c r="U35" s="27">
        <f t="shared" si="3"/>
        <v>5.8958143162011369</v>
      </c>
    </row>
    <row r="36" spans="1:21" x14ac:dyDescent="0.3">
      <c r="A36" s="18">
        <f t="shared" si="1"/>
        <v>31</v>
      </c>
      <c r="B36" s="18">
        <v>-2.0896280806903724</v>
      </c>
      <c r="C36" s="18">
        <v>-0.180404737753455</v>
      </c>
      <c r="D36" s="18">
        <f t="shared" si="2"/>
        <v>2.3736012284424485E-2</v>
      </c>
      <c r="F36" s="12">
        <f t="shared" si="6"/>
        <v>32</v>
      </c>
      <c r="H36" s="12">
        <v>-1.69747111313319E-2</v>
      </c>
      <c r="L36" s="19">
        <f t="shared" si="5"/>
        <v>31</v>
      </c>
      <c r="M36" s="6">
        <f t="shared" si="0"/>
        <v>2.3736012284424485E-2</v>
      </c>
      <c r="N36" s="6">
        <f>G$5*N35+G$6*N34+G$7*N33+G$8*N32+G$9*N31+G$10*N30+G$11*N29+G$12*N28+G$13*N27+G$14*N26+G$15*N25+G$16*N24+G$17*N23+G$18*N22+G$19*N21+G$20*N20+G$21*N19+G$22*N18+G$23*N17+G$24*N16+G$25*N15+G$26*N14+G$27*N13+G$28*N12+G$29*N11+G$30*N10+G$31*N9+G$32*N8+G$33*N7+G$34*N6+G$35*N5+H$5*M35+H$6*M34+H$7*M33+H$8*M32+H$9*M31+H$10*M30+H$11*M29+H$12*M28+H$13*M27+H$14*M26+H$15*M25+H$16*M24+H$17*M23+H$18*M22+H$19*M21+H$20*M20+H$21*M19+H$22*M18+H$23*M17+H$24*M16+H$25*M15+H$26*M14+H$27*M13+H$28*M12+H$29*M11+H$30*M10+H$31*M9+H$32*M8+H$33*M7+H$34*M6+H$35*M5</f>
        <v>0.33860244666507527</v>
      </c>
      <c r="R36" s="24">
        <f t="shared" si="4"/>
        <v>30</v>
      </c>
      <c r="S36" s="1">
        <v>37865</v>
      </c>
      <c r="T36" s="2">
        <v>6.1</v>
      </c>
      <c r="U36" s="27">
        <f t="shared" si="3"/>
        <v>5.8758678661849952</v>
      </c>
    </row>
    <row r="37" spans="1:21" x14ac:dyDescent="0.3">
      <c r="A37" s="18">
        <f t="shared" si="1"/>
        <v>32</v>
      </c>
      <c r="B37" s="18">
        <v>-2.1658579291609228</v>
      </c>
      <c r="C37" s="18">
        <v>0</v>
      </c>
      <c r="D37" s="18">
        <f t="shared" si="2"/>
        <v>0.25663458622400537</v>
      </c>
      <c r="F37" s="12">
        <f t="shared" si="6"/>
        <v>33</v>
      </c>
      <c r="H37" s="12">
        <v>-2.93349814397918E-2</v>
      </c>
      <c r="L37" s="19">
        <f t="shared" si="5"/>
        <v>32</v>
      </c>
      <c r="M37" s="6">
        <f t="shared" si="0"/>
        <v>0.25663458622400537</v>
      </c>
      <c r="N37" s="6">
        <f>G$5*N36+G$6*N35+G$7*N34+G$8*N33+G$9*N32+G$10*N31+G$11*N30+G$12*N29+G$13*N28+G$14*N27+G$15*N26+G$16*N25+G$17*N24+G$18*N23+G$19*N22+G$20*N21+G$21*N20+G$22*N19+G$23*N18+G$24*N17+G$25*N16+G$26*N15+G$27*N14+G$28*N13+G$29*N12+G$30*N11+G$31*N10+G$32*N9+G$33*N8+G$34*N7+G$35*N6+G$36*N5+H$5*M36+H$6*M35+H$7*M34+H$8*M33+H$9*M32+H$10*M31+H$11*M30+H$12*M29+H$13*M28+H$14*M27+H$15*M26+H$16*M25+H$17*M24+H$18*M23+H$19*M22+H$20*M21+H$21*M20+H$22*M19+H$23*M18+H$24*M17+H$25*M16+H$26*M15+H$27*M14+H$28*M13+H$29*M12+H$30*M11+H$31*M10+H$32*M9+H$33*M8+H$34*M7+H$35*M6+H$36*M5</f>
        <v>0.33161090957555117</v>
      </c>
      <c r="R37" s="24">
        <f t="shared" si="4"/>
        <v>31</v>
      </c>
      <c r="S37" s="1">
        <v>37895</v>
      </c>
      <c r="T37" s="2">
        <v>6</v>
      </c>
      <c r="U37" s="27">
        <f t="shared" si="3"/>
        <v>5.6613975533349246</v>
      </c>
    </row>
    <row r="38" spans="1:21" x14ac:dyDescent="0.3">
      <c r="A38" s="18">
        <f t="shared" si="1"/>
        <v>33</v>
      </c>
      <c r="B38" s="18">
        <v>-2.1833271011040618</v>
      </c>
      <c r="C38" s="18">
        <v>-2.1630553171370699E-2</v>
      </c>
      <c r="D38" s="18">
        <f t="shared" si="2"/>
        <v>-4.1613812282316823E-3</v>
      </c>
      <c r="F38" s="12">
        <f t="shared" si="6"/>
        <v>34</v>
      </c>
      <c r="H38" s="12">
        <v>-2.67578960021152E-2</v>
      </c>
      <c r="L38" s="19">
        <f t="shared" si="5"/>
        <v>33</v>
      </c>
      <c r="M38" s="6">
        <f t="shared" si="0"/>
        <v>-4.1613812282316823E-3</v>
      </c>
      <c r="N38" s="6">
        <f>G$5*N37+G$6*N36+G$7*N35+G$8*N34+G$9*N33+G$10*N32+G$11*N31+G$12*N30+G$13*N29+G$14*N28+G$15*N27+G$16*N26+G$17*N25+G$18*N24+G$19*N23+G$20*N22+G$21*N21+G$22*N20+G$23*N19+G$24*N18+G$25*N17+G$26*N16+G$27*N15+G$28*N14+G$29*N13+G$30*N12+G$31*N11+G$32*N10+G$33*N9+G$34*N8+G$35*N7+G$36*N6+G$37*N5+H$5*M37+H$6*M36+H$7*M35+H$8*M34+H$9*M33+H$10*M32+H$11*M31+H$12*M30+H$13*M29+H$14*M28+H$15*M27+H$16*M26+H$17*M25+H$18*M24+H$19*M23+H$20*M22+H$21*M21+H$22*M20+H$23*M19+H$24*M18+H$25*M17+H$26*M16+H$27*M15+H$28*M14+H$29*M13+H$30*M12+H$31*M11+H$32*M10+H$33*M9+H$34*M8+H$35*M7+H$36*M6+H$37*M5</f>
        <v>0.27683498490573721</v>
      </c>
      <c r="R38" s="24">
        <f t="shared" si="4"/>
        <v>32</v>
      </c>
      <c r="S38" s="1">
        <v>37926</v>
      </c>
      <c r="T38" s="2">
        <v>5.8</v>
      </c>
      <c r="U38" s="27">
        <f t="shared" si="3"/>
        <v>5.4683890904244485</v>
      </c>
    </row>
    <row r="39" spans="1:21" x14ac:dyDescent="0.3">
      <c r="A39" s="18">
        <f t="shared" si="1"/>
        <v>34</v>
      </c>
      <c r="B39" s="18">
        <v>-2.1492522431830037</v>
      </c>
      <c r="C39" s="18">
        <v>-0.31719593680534702</v>
      </c>
      <c r="D39" s="18">
        <f t="shared" si="2"/>
        <v>-0.32964024155503446</v>
      </c>
      <c r="F39" s="12">
        <f t="shared" si="6"/>
        <v>35</v>
      </c>
      <c r="H39" s="12">
        <v>-4.2647305908455301E-2</v>
      </c>
      <c r="L39" s="19">
        <f t="shared" si="5"/>
        <v>34</v>
      </c>
      <c r="M39" s="6">
        <f t="shared" si="0"/>
        <v>-0.32964024155503446</v>
      </c>
      <c r="N39" s="6">
        <f>G$5*N38+G$6*N37+G$7*N36+G$8*N35+G$9*N34+G$10*N33+G$11*N32+G$12*N31+G$13*N30+G$14*N29+G$15*N28+G$16*N27+G$17*N26+G$18*N25+G$19*N24+G$20*N23+G$21*N22+G$22*N21+G$23*N20+G$24*N19+G$25*N18+G$26*N17+G$27*N16+G$28*N15+G$29*N14+G$30*N13+G$31*N12+G$32*N11+G$33*N10+G$34*N9+G$35*N8+G$36*N7+G$37*N6+G$38*N5+H$5*M38+H$6*M37+H$7*M36+H$8*M35+H$9*M34+H$10*M33+H$11*M32+H$12*M31+H$13*M30+H$14*M29+H$15*M28+H$16*M27+H$17*M26+H$18*M25+H$19*M24+H$20*M23+H$21*M22+H$22*M21+H$23*M20+H$24*M19+H$25*M18+H$26*M17+H$27*M16+H$28*M15+H$29*M14+H$30*M13+H$31*M12+H$32*M11+H$33*M10+H$34*M9+H$35*M8+H$36*M7+H$37*M6+H$38*M5</f>
        <v>0.29975863306930828</v>
      </c>
      <c r="R39" s="24">
        <f t="shared" si="4"/>
        <v>33</v>
      </c>
      <c r="S39" s="1">
        <v>37956</v>
      </c>
      <c r="T39" s="2">
        <v>5.7</v>
      </c>
      <c r="U39" s="27">
        <f t="shared" si="3"/>
        <v>5.4231650150942627</v>
      </c>
    </row>
    <row r="40" spans="1:21" x14ac:dyDescent="0.3">
      <c r="A40" s="18">
        <f t="shared" si="1"/>
        <v>35</v>
      </c>
      <c r="B40" s="18">
        <v>-2.1718188263504441</v>
      </c>
      <c r="C40" s="18">
        <v>0</v>
      </c>
      <c r="D40" s="18">
        <f t="shared" si="2"/>
        <v>0.33976251997278745</v>
      </c>
      <c r="F40" s="12">
        <f t="shared" si="6"/>
        <v>36</v>
      </c>
      <c r="H40" s="12">
        <v>-3.6838996515427803E-2</v>
      </c>
      <c r="L40" s="19">
        <f t="shared" si="5"/>
        <v>35</v>
      </c>
      <c r="M40" s="6">
        <f t="shared" si="0"/>
        <v>0.33976251997278745</v>
      </c>
      <c r="N40" s="6">
        <f>G$5*N39+G$6*N38+G$7*N37+G$8*N36+G$9*N35+G$10*N34+G$11*N33+G$12*N32+G$13*N31+G$14*N30+G$15*N29+G$16*N28+G$17*N27+G$18*N26+G$19*N25+G$20*N24+G$21*N23+G$22*N22+G$23*N21+G$24*N20+G$25*N19+G$26*N18+G$27*N17+G$28*N16+G$29*N15+G$30*N14+G$31*N13+G$32*N12+G$33*N11+G$34*N10+G$35*N9+G$36*N8+G$37*N7+G$38*N6+G$39*N5+H$5*M39+H$6*M38+H$7*M37+H$8*M36+H$9*M35+H$10*M34+H$11*M33+H$12*M32+H$13*M31+H$14*M30+H$15*M29+H$16*M28+H$17*M27+H$18*M26+H$19*M25+H$20*M24+H$21*M23+H$22*M22+H$23*M21+H$24*M20+H$25*M19+H$26*M18+H$27*M17+H$28*M16+H$29*M15+H$30*M14+H$31*M13+H$32*M12+H$33*M11+H$34*M10+H$35*M9+H$36*M8+H$37*M7+H$38*M6+H$39*M5</f>
        <v>0.3478923476762425</v>
      </c>
      <c r="R40" s="24">
        <f t="shared" si="4"/>
        <v>34</v>
      </c>
      <c r="S40" s="1">
        <v>37987</v>
      </c>
      <c r="T40" s="2">
        <v>5.7</v>
      </c>
      <c r="U40" s="27">
        <f t="shared" si="3"/>
        <v>5.4002413669306915</v>
      </c>
    </row>
    <row r="41" spans="1:21" x14ac:dyDescent="0.3">
      <c r="A41" s="18">
        <f t="shared" si="1"/>
        <v>36</v>
      </c>
      <c r="B41" s="18">
        <v>-2.0734588878906162</v>
      </c>
      <c r="C41" s="18">
        <v>6.9882555581476796E-2</v>
      </c>
      <c r="D41" s="18">
        <f t="shared" si="2"/>
        <v>-2.8477382878351137E-2</v>
      </c>
      <c r="L41" s="19">
        <f t="shared" si="5"/>
        <v>36</v>
      </c>
      <c r="M41" s="6">
        <f t="shared" si="0"/>
        <v>-2.8477382878351137E-2</v>
      </c>
      <c r="N41" s="6">
        <f>G$5*N40+G$6*N39+G$7*N38+G$8*N37+G$9*N36+G$10*N35+G$11*N34+G$12*N33+G$13*N32+G$14*N31+G$15*N30+G$16*N29+G$17*N28+G$18*N27+G$19*N26+G$20*N25+G$21*N24+G$22*N23+G$23*N22+G$24*N21+G$25*N20+G$26*N19+G$27*N18+G$28*N17+G$29*N16+G$30*N15+G$31*N14+G$32*N13+G$33*N12+G$34*N11+G$35*N10+G$36*N9+G$37*N8+G$38*N7+G$39*N6+G$40*N5+H$5*M40+H$6*M39+H$7*M38+H$8*M37+H$9*M36+H$10*M35+H$11*M34+H$12*M33+H$13*M32+H$14*M31+H$15*M30+H$16*M29+H$17*M28+H$18*M27+H$19*M26+H$20*M25+H$21*M24+H$22*M23+H$23*M22+H$24*M21+H$25*M20+H$26*M19+H$27*M18+H$28*M17+H$29*M16+H$30*M15+H$31*M14+H$32*M13+H$33*M12+H$34*M11+H$35*M10+H$36*M9+H$37*M8+H$38*M7+H$39*M6+H$40*M5</f>
        <v>0.34557488065145497</v>
      </c>
      <c r="R41" s="24">
        <f t="shared" si="4"/>
        <v>35</v>
      </c>
      <c r="S41" s="1">
        <v>38018</v>
      </c>
      <c r="T41" s="2">
        <v>5.6</v>
      </c>
      <c r="U41" s="27">
        <f t="shared" si="3"/>
        <v>5.2521076523237573</v>
      </c>
    </row>
    <row r="42" spans="1:21" x14ac:dyDescent="0.3">
      <c r="A42" s="18">
        <f t="shared" si="1"/>
        <v>37</v>
      </c>
      <c r="B42" s="18">
        <v>-2.0465414423179733</v>
      </c>
      <c r="C42" s="18">
        <v>0</v>
      </c>
      <c r="D42" s="18">
        <f t="shared" si="2"/>
        <v>-9.6800001154119658E-2</v>
      </c>
      <c r="L42" s="19">
        <f t="shared" si="5"/>
        <v>37</v>
      </c>
      <c r="M42" s="6">
        <f t="shared" si="0"/>
        <v>-9.6800001154119658E-2</v>
      </c>
      <c r="N42" s="6">
        <f>G$5*N41+G$6*N40+G$7*N39+G$8*N38+G$9*N37+G$10*N36+G$11*N35+G$12*N34+G$13*N33+G$14*N32+G$15*N31+G$16*N30+G$17*N29+G$18*N28+G$19*N27+G$20*N26+G$21*N25+G$22*N24+G$23*N23+G$24*N22+G$25*N21+G$26*N20+G$27*N19+G$28*N18+G$29*N17+G$30*N16+G$31*N15+G$32*N14+G$33*N13+G$34*N12+G$35*N11+G$36*N10+G$37*N9+G$38*N8+G$39*N7+G$40*N6+H$5*M41+H$6*M40+H$7*M39+H$8*M38+H$9*M37+H$10*M36+H$11*M35+H$12*M34+H$13*M33+H$14*M32+H$15*M31+H$16*M30+H$17*M29+H$18*M28+H$19*M27+H$20*M26+H$21*M25+H$22*M24+H$23*M23+H$24*M22+H$25*M21+H$26*M20+H$27*M19+H$28*M18+H$29*M17+H$30*M16+H$31*M15+H$32*M14+H$33*M13+H$34*M12+H$35*M11+H$36*M10+H$37*M9+H$38*M8+H$39*M7+H$40*M6</f>
        <v>0.38086469147502272</v>
      </c>
      <c r="R42" s="24">
        <f t="shared" si="4"/>
        <v>36</v>
      </c>
      <c r="S42" s="1">
        <v>38047</v>
      </c>
      <c r="T42" s="2">
        <v>5.8</v>
      </c>
      <c r="U42" s="27">
        <f t="shared" si="3"/>
        <v>5.4544251193485449</v>
      </c>
    </row>
    <row r="43" spans="1:21" x14ac:dyDescent="0.3">
      <c r="A43" s="18">
        <f t="shared" si="1"/>
        <v>38</v>
      </c>
      <c r="B43" s="18">
        <v>-2.0233271183811961</v>
      </c>
      <c r="C43" s="18">
        <v>-0.11115572037954601</v>
      </c>
      <c r="D43" s="18">
        <f t="shared" si="2"/>
        <v>-0.13437004431632327</v>
      </c>
      <c r="L43" s="19">
        <f t="shared" si="5"/>
        <v>38</v>
      </c>
      <c r="M43" s="6">
        <f t="shared" si="0"/>
        <v>-0.13437004431632327</v>
      </c>
      <c r="N43" s="6">
        <f t="shared" ref="N43:N70" si="7">G$5*N42+G$6*N41+G$7*N40+G$8*N39+G$9*N38+G$10*N37+G$11*N36+G$12*N35+G$13*N34+G$14*N33+G$15*N32+G$16*N31+G$17*N30+G$18*N29+G$19*N28+G$20*N27+G$21*N26+G$22*N25+G$23*N24+G$24*N23+G$25*N22+G$26*N21+G$27*N20+G$28*N19+G$29*N18+G$30*N17+G$31*N16+G$32*N15+G$33*N14+G$34*N13+G$35*N12+G$36*N11+G$37*N10+G$38*N9+G$39*N8+G$40*N7+H$5*M42+H$6*M41+H$7*M40+H$8*M39+H$9*M38+H$10*M37+H$11*M36+H$12*M35+H$13*M34+H$14*M33+H$15*M32+H$16*M31+H$17*M30+H$18*M29+H$19*M28+H$20*M27+H$21*M26+H$22*M25+H$23*M24+H$24*M23+H$25*M22+H$26*M21+H$27*M20+H$28*M19+H$29*M18+H$30*M17+H$31*M16+H$32*M15+H$33*M14+H$34*M13+H$35*M12+H$36*M11+H$37*M10+H$38*M9+H$39*M8+H$40*M7</f>
        <v>0.39727382105391268</v>
      </c>
      <c r="R43" s="24">
        <f t="shared" si="4"/>
        <v>37</v>
      </c>
      <c r="S43" s="1">
        <v>38078</v>
      </c>
      <c r="T43" s="2">
        <v>5.6</v>
      </c>
      <c r="U43" s="27">
        <f t="shared" si="3"/>
        <v>5.2191353085249768</v>
      </c>
    </row>
    <row r="44" spans="1:21" x14ac:dyDescent="0.3">
      <c r="A44" s="18">
        <f t="shared" si="1"/>
        <v>39</v>
      </c>
      <c r="B44" s="18">
        <v>-2.066267013809675</v>
      </c>
      <c r="C44" s="18">
        <v>0.15210393344378401</v>
      </c>
      <c r="D44" s="18">
        <f t="shared" si="2"/>
        <v>0.30619954925180898</v>
      </c>
      <c r="L44" s="19">
        <f t="shared" si="5"/>
        <v>39</v>
      </c>
      <c r="M44" s="6">
        <f t="shared" si="0"/>
        <v>0.30619954925180898</v>
      </c>
      <c r="N44" s="6">
        <f t="shared" si="7"/>
        <v>0.36369462011032372</v>
      </c>
      <c r="R44" s="24">
        <f t="shared" si="4"/>
        <v>38</v>
      </c>
      <c r="S44" s="1">
        <v>38108</v>
      </c>
      <c r="T44" s="2">
        <v>5.6</v>
      </c>
      <c r="U44" s="27">
        <f t="shared" si="3"/>
        <v>5.2027261789460866</v>
      </c>
    </row>
    <row r="45" spans="1:21" x14ac:dyDescent="0.3">
      <c r="A45" s="18">
        <f t="shared" si="1"/>
        <v>40</v>
      </c>
      <c r="B45" s="18">
        <v>-2.3679768156113794</v>
      </c>
      <c r="C45" s="18">
        <v>0</v>
      </c>
      <c r="D45" s="18">
        <f t="shared" si="2"/>
        <v>0.14960586835792036</v>
      </c>
      <c r="L45" s="19">
        <f t="shared" si="5"/>
        <v>40</v>
      </c>
      <c r="M45" s="6">
        <f t="shared" si="0"/>
        <v>0.14960586835792036</v>
      </c>
      <c r="N45" s="6">
        <f t="shared" si="7"/>
        <v>0.3389891744102263</v>
      </c>
      <c r="R45" s="24">
        <f t="shared" si="4"/>
        <v>39</v>
      </c>
      <c r="S45" s="1">
        <v>38139</v>
      </c>
      <c r="T45" s="2">
        <v>5.6</v>
      </c>
      <c r="U45" s="27">
        <f t="shared" si="3"/>
        <v>5.2363053798896759</v>
      </c>
    </row>
    <row r="46" spans="1:21" x14ac:dyDescent="0.3">
      <c r="A46" s="18">
        <f t="shared" si="1"/>
        <v>41</v>
      </c>
      <c r="B46" s="18">
        <v>-2.3597875573960292</v>
      </c>
      <c r="C46" s="18">
        <v>0.30417654963177498</v>
      </c>
      <c r="D46" s="18">
        <f t="shared" si="2"/>
        <v>0.29598729141642477</v>
      </c>
      <c r="L46" s="19">
        <f t="shared" si="5"/>
        <v>41</v>
      </c>
      <c r="M46" s="6">
        <f t="shared" si="0"/>
        <v>0.29598729141642477</v>
      </c>
      <c r="N46" s="6">
        <f t="shared" si="7"/>
        <v>0.35121505454654611</v>
      </c>
      <c r="R46" s="24">
        <f t="shared" si="4"/>
        <v>40</v>
      </c>
      <c r="S46" s="1">
        <v>38169</v>
      </c>
      <c r="T46" s="2">
        <v>5.5</v>
      </c>
      <c r="U46" s="27">
        <f t="shared" si="3"/>
        <v>5.1610108255897735</v>
      </c>
    </row>
    <row r="47" spans="1:21" x14ac:dyDescent="0.3">
      <c r="A47" s="18">
        <f t="shared" si="1"/>
        <v>42</v>
      </c>
      <c r="B47" s="18">
        <v>-2.2717829134579115</v>
      </c>
      <c r="C47" s="18">
        <v>0.15705458550637</v>
      </c>
      <c r="D47" s="18">
        <f t="shared" si="2"/>
        <v>-0.23512660806352267</v>
      </c>
      <c r="L47" s="19">
        <f t="shared" si="5"/>
        <v>42</v>
      </c>
      <c r="M47" s="6">
        <f t="shared" si="0"/>
        <v>-0.23512660806352267</v>
      </c>
      <c r="N47" s="6">
        <f t="shared" si="7"/>
        <v>0.45995147183260443</v>
      </c>
      <c r="R47" s="24">
        <f t="shared" si="4"/>
        <v>41</v>
      </c>
      <c r="S47" s="1">
        <v>38200</v>
      </c>
      <c r="T47" s="2">
        <v>5.4</v>
      </c>
      <c r="U47" s="27">
        <f t="shared" si="3"/>
        <v>5.0487849454534546</v>
      </c>
    </row>
    <row r="48" spans="1:21" x14ac:dyDescent="0.3">
      <c r="A48" s="18">
        <f t="shared" si="1"/>
        <v>43</v>
      </c>
      <c r="B48" s="18">
        <v>-2.3488303039976874</v>
      </c>
      <c r="C48" s="18">
        <v>0</v>
      </c>
      <c r="D48" s="18">
        <f t="shared" si="2"/>
        <v>-8.0007194966594058E-2</v>
      </c>
      <c r="L48" s="19">
        <f t="shared" si="5"/>
        <v>43</v>
      </c>
      <c r="M48" s="6">
        <f t="shared" si="0"/>
        <v>-8.0007194966594058E-2</v>
      </c>
      <c r="N48" s="6">
        <f t="shared" si="7"/>
        <v>0.42234045638849027</v>
      </c>
      <c r="R48" s="24">
        <f t="shared" si="4"/>
        <v>42</v>
      </c>
      <c r="S48" s="1">
        <v>38231</v>
      </c>
      <c r="T48" s="2">
        <v>5.4</v>
      </c>
      <c r="U48" s="27">
        <f t="shared" si="3"/>
        <v>4.940048528167396</v>
      </c>
    </row>
    <row r="49" spans="1:21" x14ac:dyDescent="0.3">
      <c r="A49" s="18">
        <f t="shared" si="1"/>
        <v>44</v>
      </c>
      <c r="B49" s="18">
        <v>-2.2895354390069498</v>
      </c>
      <c r="C49" s="18">
        <v>0.33018541420493103</v>
      </c>
      <c r="D49" s="18">
        <f t="shared" si="2"/>
        <v>0.27089054921419337</v>
      </c>
      <c r="L49" s="19">
        <f t="shared" si="5"/>
        <v>44</v>
      </c>
      <c r="M49" s="6">
        <f t="shared" si="0"/>
        <v>0.27089054921419337</v>
      </c>
      <c r="N49" s="6">
        <f t="shared" si="7"/>
        <v>0.47403359931173467</v>
      </c>
      <c r="R49" s="24">
        <f t="shared" si="4"/>
        <v>43</v>
      </c>
      <c r="S49" s="1">
        <v>38261</v>
      </c>
      <c r="T49" s="2">
        <v>5.5</v>
      </c>
      <c r="U49" s="27">
        <f t="shared" si="3"/>
        <v>5.0776595436115102</v>
      </c>
    </row>
    <row r="50" spans="1:21" x14ac:dyDescent="0.3">
      <c r="A50" s="18">
        <f t="shared" si="1"/>
        <v>45</v>
      </c>
      <c r="B50" s="18">
        <v>-2.4916540278461796</v>
      </c>
      <c r="C50" s="18">
        <v>0.14030102379339701</v>
      </c>
      <c r="D50" s="18">
        <f t="shared" si="2"/>
        <v>1.2234198427695825E-2</v>
      </c>
      <c r="L50" s="19">
        <f t="shared" si="5"/>
        <v>45</v>
      </c>
      <c r="M50" s="6">
        <f t="shared" si="0"/>
        <v>1.2234198427695825E-2</v>
      </c>
      <c r="N50" s="6">
        <f t="shared" si="7"/>
        <v>0.48973056778513896</v>
      </c>
      <c r="R50" s="24">
        <f t="shared" si="4"/>
        <v>44</v>
      </c>
      <c r="S50" s="1">
        <v>38292</v>
      </c>
      <c r="T50" s="2">
        <v>5.4</v>
      </c>
      <c r="U50" s="27">
        <f t="shared" si="3"/>
        <v>4.9259664006882655</v>
      </c>
    </row>
    <row r="51" spans="1:21" x14ac:dyDescent="0.3">
      <c r="A51" s="18">
        <f t="shared" si="1"/>
        <v>46</v>
      </c>
      <c r="B51" s="18">
        <v>-2.8069083182513399</v>
      </c>
      <c r="C51" s="18"/>
      <c r="D51" s="18"/>
      <c r="L51" s="19">
        <f t="shared" si="5"/>
        <v>46</v>
      </c>
      <c r="M51" s="6">
        <f t="shared" si="0"/>
        <v>0</v>
      </c>
      <c r="N51" s="6">
        <f t="shared" si="7"/>
        <v>0.58764999520167072</v>
      </c>
      <c r="R51" s="24">
        <f t="shared" si="4"/>
        <v>45</v>
      </c>
      <c r="S51" s="1">
        <v>38322</v>
      </c>
      <c r="T51" s="2">
        <v>5.4</v>
      </c>
      <c r="U51" s="27">
        <f t="shared" si="3"/>
        <v>4.9102694322148617</v>
      </c>
    </row>
    <row r="52" spans="1:21" x14ac:dyDescent="0.3">
      <c r="A52" s="18">
        <f t="shared" si="1"/>
        <v>47</v>
      </c>
      <c r="B52" s="18">
        <v>-2.146889095768084</v>
      </c>
      <c r="C52" s="18"/>
      <c r="D52" s="18"/>
      <c r="L52" s="19">
        <f t="shared" si="5"/>
        <v>47</v>
      </c>
      <c r="M52" s="6">
        <f t="shared" si="0"/>
        <v>0</v>
      </c>
      <c r="N52" s="6">
        <f t="shared" si="7"/>
        <v>0.61729815105957653</v>
      </c>
      <c r="R52" s="24">
        <f t="shared" si="4"/>
        <v>46</v>
      </c>
      <c r="S52" s="1">
        <v>38353</v>
      </c>
      <c r="T52" s="2">
        <v>5.3</v>
      </c>
      <c r="U52" s="27">
        <f t="shared" si="3"/>
        <v>4.7123500047983296</v>
      </c>
    </row>
    <row r="53" spans="1:21" x14ac:dyDescent="0.3">
      <c r="A53" s="18">
        <f t="shared" si="1"/>
        <v>48</v>
      </c>
      <c r="B53" s="18">
        <v>-2.1491821707396594</v>
      </c>
      <c r="C53" s="18"/>
      <c r="D53" s="18"/>
      <c r="L53" s="19">
        <f t="shared" si="5"/>
        <v>48</v>
      </c>
      <c r="M53" s="6">
        <f t="shared" si="0"/>
        <v>0</v>
      </c>
      <c r="N53" s="6">
        <f t="shared" si="7"/>
        <v>0.61833481399552481</v>
      </c>
      <c r="R53" s="24">
        <f t="shared" si="4"/>
        <v>47</v>
      </c>
      <c r="S53" s="1">
        <v>38384</v>
      </c>
      <c r="T53" s="2">
        <v>5.4</v>
      </c>
      <c r="U53" s="27">
        <f t="shared" si="3"/>
        <v>4.782701848940424</v>
      </c>
    </row>
    <row r="54" spans="1:21" x14ac:dyDescent="0.3">
      <c r="L54" s="19">
        <f t="shared" si="5"/>
        <v>49</v>
      </c>
      <c r="M54" s="6">
        <f t="shared" si="0"/>
        <v>0</v>
      </c>
      <c r="N54" s="6">
        <f t="shared" si="7"/>
        <v>0.56966042323657928</v>
      </c>
      <c r="R54" s="24">
        <f t="shared" si="4"/>
        <v>48</v>
      </c>
      <c r="S54" s="1">
        <v>38412</v>
      </c>
      <c r="T54" s="2">
        <v>5.2</v>
      </c>
      <c r="U54" s="27">
        <f t="shared" si="3"/>
        <v>4.581665186004475</v>
      </c>
    </row>
    <row r="55" spans="1:21" x14ac:dyDescent="0.3">
      <c r="L55" s="19">
        <f t="shared" si="5"/>
        <v>50</v>
      </c>
      <c r="M55" s="6">
        <f t="shared" si="0"/>
        <v>0</v>
      </c>
      <c r="N55" s="6">
        <f t="shared" si="7"/>
        <v>0.62484452256329626</v>
      </c>
      <c r="R55" s="24">
        <f t="shared" si="4"/>
        <v>49</v>
      </c>
      <c r="S55" s="1">
        <v>38443</v>
      </c>
      <c r="T55" s="2">
        <v>5.2</v>
      </c>
      <c r="U55" s="27">
        <f t="shared" si="3"/>
        <v>4.6303395767634212</v>
      </c>
    </row>
    <row r="56" spans="1:21" x14ac:dyDescent="0.3">
      <c r="L56" s="19">
        <f t="shared" si="5"/>
        <v>51</v>
      </c>
      <c r="M56" s="6">
        <f t="shared" si="0"/>
        <v>0</v>
      </c>
      <c r="N56" s="6">
        <f t="shared" si="7"/>
        <v>0.68682975551661207</v>
      </c>
      <c r="R56" s="24">
        <f t="shared" si="4"/>
        <v>50</v>
      </c>
      <c r="S56" s="1">
        <v>38473</v>
      </c>
      <c r="T56" s="2">
        <v>5.0999999999999996</v>
      </c>
      <c r="U56" s="27">
        <f t="shared" si="3"/>
        <v>4.4751554774367035</v>
      </c>
    </row>
    <row r="57" spans="1:21" x14ac:dyDescent="0.3">
      <c r="L57" s="19">
        <f t="shared" si="5"/>
        <v>52</v>
      </c>
      <c r="M57" s="6">
        <f t="shared" si="0"/>
        <v>0</v>
      </c>
      <c r="N57" s="6">
        <f t="shared" si="7"/>
        <v>0.66220493591871643</v>
      </c>
      <c r="R57" s="24">
        <f t="shared" si="4"/>
        <v>51</v>
      </c>
      <c r="S57" s="1">
        <v>38504</v>
      </c>
      <c r="T57" s="2">
        <v>5</v>
      </c>
      <c r="U57" s="27">
        <f t="shared" si="3"/>
        <v>4.3131702444833877</v>
      </c>
    </row>
    <row r="58" spans="1:21" x14ac:dyDescent="0.3">
      <c r="L58" s="19">
        <f t="shared" si="5"/>
        <v>53</v>
      </c>
      <c r="M58" s="6">
        <f t="shared" si="0"/>
        <v>0</v>
      </c>
      <c r="N58" s="6">
        <f t="shared" si="7"/>
        <v>0.66830778901521504</v>
      </c>
      <c r="R58" s="24">
        <f t="shared" si="4"/>
        <v>52</v>
      </c>
      <c r="S58" s="1">
        <v>38534</v>
      </c>
      <c r="T58" s="2">
        <v>5</v>
      </c>
      <c r="U58" s="27">
        <f t="shared" si="3"/>
        <v>4.3377950640812832</v>
      </c>
    </row>
    <row r="59" spans="1:21" x14ac:dyDescent="0.3">
      <c r="L59" s="19">
        <f t="shared" si="5"/>
        <v>54</v>
      </c>
      <c r="M59" s="6">
        <f t="shared" si="0"/>
        <v>0</v>
      </c>
      <c r="N59" s="6">
        <f t="shared" si="7"/>
        <v>0.58325876390561271</v>
      </c>
      <c r="R59" s="24">
        <f t="shared" si="4"/>
        <v>53</v>
      </c>
      <c r="S59" s="1">
        <v>38565</v>
      </c>
      <c r="T59" s="2">
        <v>4.9000000000000004</v>
      </c>
      <c r="U59" s="27">
        <f t="shared" si="3"/>
        <v>4.231692210984785</v>
      </c>
    </row>
    <row r="60" spans="1:21" x14ac:dyDescent="0.3">
      <c r="L60" s="19">
        <f t="shared" si="5"/>
        <v>55</v>
      </c>
      <c r="M60" s="6">
        <f t="shared" si="0"/>
        <v>0</v>
      </c>
      <c r="N60" s="6">
        <f t="shared" si="7"/>
        <v>0.57825779211874928</v>
      </c>
      <c r="R60" s="24">
        <f t="shared" si="4"/>
        <v>54</v>
      </c>
      <c r="S60" s="1">
        <v>38596</v>
      </c>
      <c r="T60" s="2">
        <v>5</v>
      </c>
      <c r="U60" s="27">
        <f t="shared" si="3"/>
        <v>4.4167412360943876</v>
      </c>
    </row>
    <row r="61" spans="1:21" x14ac:dyDescent="0.3">
      <c r="L61" s="19">
        <f t="shared" si="5"/>
        <v>56</v>
      </c>
      <c r="M61" s="6">
        <f t="shared" si="0"/>
        <v>0</v>
      </c>
      <c r="N61" s="6">
        <f t="shared" si="7"/>
        <v>0.51300518231322734</v>
      </c>
      <c r="R61" s="24">
        <f t="shared" si="4"/>
        <v>55</v>
      </c>
      <c r="S61" s="1">
        <v>38626</v>
      </c>
      <c r="T61" s="2">
        <v>5</v>
      </c>
      <c r="U61" s="27">
        <f t="shared" si="3"/>
        <v>4.4217422078812509</v>
      </c>
    </row>
    <row r="62" spans="1:21" x14ac:dyDescent="0.3">
      <c r="L62" s="19">
        <f t="shared" si="5"/>
        <v>57</v>
      </c>
      <c r="M62" s="6">
        <f t="shared" si="0"/>
        <v>0</v>
      </c>
      <c r="N62" s="6">
        <f t="shared" si="7"/>
        <v>0.48162447020120763</v>
      </c>
      <c r="R62" s="24">
        <f t="shared" si="4"/>
        <v>56</v>
      </c>
      <c r="S62" s="1">
        <v>38657</v>
      </c>
      <c r="T62" s="2">
        <v>5</v>
      </c>
      <c r="U62" s="27">
        <f t="shared" si="3"/>
        <v>4.4869948176867727</v>
      </c>
    </row>
    <row r="63" spans="1:21" x14ac:dyDescent="0.3">
      <c r="L63" s="19">
        <f t="shared" si="5"/>
        <v>58</v>
      </c>
      <c r="M63" s="6">
        <f t="shared" si="0"/>
        <v>0</v>
      </c>
      <c r="N63" s="6">
        <f t="shared" si="7"/>
        <v>0.39819307002692989</v>
      </c>
      <c r="R63" s="24">
        <f t="shared" si="4"/>
        <v>57</v>
      </c>
      <c r="S63" s="1">
        <v>38687</v>
      </c>
      <c r="T63" s="2">
        <v>4.9000000000000004</v>
      </c>
      <c r="U63" s="27">
        <f t="shared" si="3"/>
        <v>4.4183755297987926</v>
      </c>
    </row>
    <row r="64" spans="1:21" x14ac:dyDescent="0.3">
      <c r="L64" s="19">
        <f t="shared" si="5"/>
        <v>59</v>
      </c>
      <c r="M64" s="6">
        <f t="shared" si="0"/>
        <v>0</v>
      </c>
      <c r="N64" s="6">
        <f t="shared" si="7"/>
        <v>0.37735552845232556</v>
      </c>
      <c r="R64" s="24">
        <f t="shared" si="4"/>
        <v>58</v>
      </c>
      <c r="S64" s="1">
        <v>38718</v>
      </c>
      <c r="T64" s="2">
        <v>4.7</v>
      </c>
      <c r="U64" s="27">
        <f t="shared" si="3"/>
        <v>4.3018069299730701</v>
      </c>
    </row>
    <row r="65" spans="12:21" x14ac:dyDescent="0.3">
      <c r="L65" s="19">
        <f t="shared" si="5"/>
        <v>60</v>
      </c>
      <c r="M65" s="6">
        <f t="shared" si="0"/>
        <v>0</v>
      </c>
      <c r="N65" s="6">
        <f t="shared" si="7"/>
        <v>0.30408931484771262</v>
      </c>
      <c r="R65" s="24">
        <f t="shared" si="4"/>
        <v>59</v>
      </c>
      <c r="S65" s="1">
        <v>38749</v>
      </c>
      <c r="T65" s="2">
        <v>4.8</v>
      </c>
      <c r="U65" s="27">
        <f t="shared" si="3"/>
        <v>4.4226444715476738</v>
      </c>
    </row>
    <row r="66" spans="12:21" x14ac:dyDescent="0.3">
      <c r="L66" s="19">
        <f t="shared" si="5"/>
        <v>61</v>
      </c>
      <c r="M66" s="6">
        <f t="shared" si="0"/>
        <v>0</v>
      </c>
      <c r="N66" s="6">
        <f t="shared" si="7"/>
        <v>0.24500358339943298</v>
      </c>
      <c r="R66" s="24">
        <f t="shared" si="4"/>
        <v>60</v>
      </c>
      <c r="S66" s="1">
        <v>38777</v>
      </c>
      <c r="T66" s="2">
        <v>4.7</v>
      </c>
      <c r="U66" s="27">
        <f t="shared" si="3"/>
        <v>4.3959106851522876</v>
      </c>
    </row>
    <row r="67" spans="12:21" x14ac:dyDescent="0.3">
      <c r="L67" s="19">
        <f t="shared" si="5"/>
        <v>62</v>
      </c>
      <c r="M67" s="6">
        <f t="shared" si="0"/>
        <v>0</v>
      </c>
      <c r="N67" s="6">
        <f t="shared" si="7"/>
        <v>0.19934749851781697</v>
      </c>
      <c r="R67" s="24">
        <f t="shared" si="4"/>
        <v>61</v>
      </c>
      <c r="S67" s="1">
        <v>38808</v>
      </c>
      <c r="T67" s="2">
        <v>4.7</v>
      </c>
      <c r="U67" s="27">
        <f t="shared" si="3"/>
        <v>4.4549964166005669</v>
      </c>
    </row>
    <row r="68" spans="12:21" x14ac:dyDescent="0.3">
      <c r="L68" s="19">
        <f t="shared" si="5"/>
        <v>63</v>
      </c>
      <c r="M68" s="6">
        <f t="shared" si="0"/>
        <v>0</v>
      </c>
      <c r="N68" s="6">
        <f t="shared" si="7"/>
        <v>0.21856617905384795</v>
      </c>
      <c r="R68" s="24">
        <f t="shared" si="4"/>
        <v>62</v>
      </c>
      <c r="S68" s="1">
        <v>38838</v>
      </c>
      <c r="T68" s="2">
        <v>4.5999999999999996</v>
      </c>
      <c r="U68" s="27">
        <f t="shared" si="3"/>
        <v>4.4006525014821829</v>
      </c>
    </row>
    <row r="69" spans="12:21" x14ac:dyDescent="0.3">
      <c r="L69" s="19">
        <f t="shared" si="5"/>
        <v>64</v>
      </c>
      <c r="M69" s="6">
        <f t="shared" si="0"/>
        <v>0</v>
      </c>
      <c r="N69" s="6">
        <f t="shared" si="7"/>
        <v>0.20820004598713165</v>
      </c>
      <c r="R69" s="24">
        <f t="shared" si="4"/>
        <v>63</v>
      </c>
      <c r="S69" s="1">
        <v>38869</v>
      </c>
      <c r="T69" s="2">
        <v>4.5999999999999996</v>
      </c>
      <c r="U69" s="27">
        <f t="shared" si="3"/>
        <v>4.3814338209461514</v>
      </c>
    </row>
    <row r="70" spans="12:21" x14ac:dyDescent="0.3">
      <c r="L70" s="19">
        <f t="shared" si="5"/>
        <v>65</v>
      </c>
      <c r="M70" s="6">
        <f t="shared" ref="M70:M83" si="8">D70</f>
        <v>0</v>
      </c>
      <c r="N70" s="6">
        <f t="shared" si="7"/>
        <v>0.12489172019057425</v>
      </c>
      <c r="R70" s="24">
        <f t="shared" si="4"/>
        <v>64</v>
      </c>
      <c r="S70" s="1">
        <v>38899</v>
      </c>
      <c r="T70" s="2">
        <v>4.7</v>
      </c>
      <c r="U70" s="27">
        <f t="shared" si="3"/>
        <v>4.4917999540128681</v>
      </c>
    </row>
    <row r="71" spans="12:21" x14ac:dyDescent="0.3">
      <c r="L71" s="19">
        <f t="shared" si="5"/>
        <v>66</v>
      </c>
      <c r="M71" s="6">
        <f t="shared" si="8"/>
        <v>0</v>
      </c>
      <c r="R71" s="24">
        <f t="shared" si="4"/>
        <v>65</v>
      </c>
      <c r="S71" s="1">
        <v>38930</v>
      </c>
      <c r="T71" s="2">
        <v>4.7</v>
      </c>
      <c r="U71" s="27">
        <f t="shared" si="3"/>
        <v>4.5751082798094256</v>
      </c>
    </row>
    <row r="72" spans="12:21" x14ac:dyDescent="0.3">
      <c r="L72" s="19">
        <f t="shared" si="5"/>
        <v>67</v>
      </c>
      <c r="M72" s="6">
        <f t="shared" si="8"/>
        <v>0</v>
      </c>
      <c r="R72" s="24">
        <f t="shared" si="4"/>
        <v>66</v>
      </c>
      <c r="S72" s="1">
        <v>38961</v>
      </c>
      <c r="T72" s="2">
        <v>4.5</v>
      </c>
    </row>
    <row r="73" spans="12:21" x14ac:dyDescent="0.3">
      <c r="L73" s="19">
        <f t="shared" si="5"/>
        <v>68</v>
      </c>
      <c r="M73" s="6">
        <f t="shared" si="8"/>
        <v>0</v>
      </c>
      <c r="R73" s="24">
        <f t="shared" ref="R73:R80" si="9">R72+1</f>
        <v>67</v>
      </c>
      <c r="S73" s="1">
        <v>35096</v>
      </c>
      <c r="T73" s="2">
        <v>5.5</v>
      </c>
    </row>
    <row r="74" spans="12:21" x14ac:dyDescent="0.3">
      <c r="L74" s="19">
        <f t="shared" si="5"/>
        <v>69</v>
      </c>
      <c r="M74" s="6">
        <f t="shared" si="8"/>
        <v>0</v>
      </c>
      <c r="R74" s="24">
        <f t="shared" si="9"/>
        <v>68</v>
      </c>
      <c r="S74" s="1">
        <v>35125</v>
      </c>
      <c r="T74" s="2">
        <v>5.5</v>
      </c>
    </row>
    <row r="75" spans="12:21" x14ac:dyDescent="0.3">
      <c r="L75" s="19">
        <f t="shared" ref="L75:L110" si="10">L74+1</f>
        <v>70</v>
      </c>
      <c r="M75" s="6">
        <f t="shared" si="8"/>
        <v>0</v>
      </c>
      <c r="R75" s="24">
        <f t="shared" si="9"/>
        <v>69</v>
      </c>
      <c r="S75" s="1">
        <v>35156</v>
      </c>
      <c r="T75" s="2">
        <v>5.6</v>
      </c>
    </row>
    <row r="76" spans="12:21" x14ac:dyDescent="0.3">
      <c r="L76" s="19">
        <f t="shared" si="10"/>
        <v>71</v>
      </c>
      <c r="M76" s="6">
        <f t="shared" si="8"/>
        <v>0</v>
      </c>
      <c r="R76" s="24">
        <f t="shared" si="9"/>
        <v>70</v>
      </c>
      <c r="S76" s="1">
        <v>35186</v>
      </c>
      <c r="T76" s="2">
        <v>5.6</v>
      </c>
    </row>
    <row r="77" spans="12:21" x14ac:dyDescent="0.3">
      <c r="L77" s="19">
        <f t="shared" si="10"/>
        <v>72</v>
      </c>
      <c r="M77" s="6">
        <f t="shared" si="8"/>
        <v>0</v>
      </c>
      <c r="R77" s="24">
        <f t="shared" si="9"/>
        <v>71</v>
      </c>
      <c r="S77" s="1">
        <v>35217</v>
      </c>
      <c r="T77" s="2">
        <v>5.3</v>
      </c>
    </row>
    <row r="78" spans="12:21" x14ac:dyDescent="0.3">
      <c r="L78" s="19">
        <f t="shared" si="10"/>
        <v>73</v>
      </c>
      <c r="M78" s="6">
        <f t="shared" si="8"/>
        <v>0</v>
      </c>
      <c r="R78" s="24">
        <f t="shared" si="9"/>
        <v>72</v>
      </c>
      <c r="S78" s="1">
        <v>35247</v>
      </c>
      <c r="T78" s="2">
        <v>5.5</v>
      </c>
    </row>
    <row r="79" spans="12:21" x14ac:dyDescent="0.3">
      <c r="L79" s="19">
        <f t="shared" si="10"/>
        <v>74</v>
      </c>
      <c r="M79" s="6">
        <f t="shared" si="8"/>
        <v>0</v>
      </c>
      <c r="R79" s="24">
        <f t="shared" si="9"/>
        <v>73</v>
      </c>
      <c r="S79" s="1">
        <v>35278</v>
      </c>
      <c r="T79" s="2">
        <v>5.0999999999999996</v>
      </c>
    </row>
    <row r="80" spans="12:21" x14ac:dyDescent="0.3">
      <c r="L80" s="19">
        <f t="shared" si="10"/>
        <v>75</v>
      </c>
      <c r="M80" s="6">
        <f t="shared" si="8"/>
        <v>0</v>
      </c>
      <c r="R80" s="24">
        <f t="shared" si="9"/>
        <v>74</v>
      </c>
      <c r="S80" s="1">
        <v>35309</v>
      </c>
      <c r="T80" s="2">
        <v>5.2</v>
      </c>
    </row>
    <row r="81" spans="12:13" x14ac:dyDescent="0.3">
      <c r="L81" s="19">
        <f t="shared" si="10"/>
        <v>76</v>
      </c>
      <c r="M81" s="6">
        <f t="shared" si="8"/>
        <v>0</v>
      </c>
    </row>
    <row r="82" spans="12:13" x14ac:dyDescent="0.3">
      <c r="L82" s="19">
        <f t="shared" si="10"/>
        <v>77</v>
      </c>
      <c r="M82" s="6">
        <f t="shared" si="8"/>
        <v>0</v>
      </c>
    </row>
    <row r="83" spans="12:13" x14ac:dyDescent="0.3">
      <c r="L83" s="19">
        <f t="shared" si="10"/>
        <v>78</v>
      </c>
      <c r="M83" s="6">
        <f t="shared" si="8"/>
        <v>0</v>
      </c>
    </row>
    <row r="84" spans="12:13" x14ac:dyDescent="0.3">
      <c r="L84" s="19">
        <f t="shared" si="10"/>
        <v>79</v>
      </c>
      <c r="M84" s="6">
        <v>0</v>
      </c>
    </row>
    <row r="85" spans="12:13" x14ac:dyDescent="0.3">
      <c r="L85" s="19">
        <f t="shared" si="10"/>
        <v>80</v>
      </c>
      <c r="M85" s="6">
        <v>0</v>
      </c>
    </row>
    <row r="86" spans="12:13" x14ac:dyDescent="0.3">
      <c r="L86" s="19">
        <f t="shared" si="10"/>
        <v>81</v>
      </c>
      <c r="M86" s="6">
        <v>0</v>
      </c>
    </row>
    <row r="87" spans="12:13" x14ac:dyDescent="0.3">
      <c r="L87" s="19">
        <f t="shared" si="10"/>
        <v>82</v>
      </c>
      <c r="M87" s="6">
        <v>0</v>
      </c>
    </row>
    <row r="88" spans="12:13" x14ac:dyDescent="0.3">
      <c r="L88" s="19">
        <f t="shared" si="10"/>
        <v>83</v>
      </c>
      <c r="M88" s="6">
        <v>0</v>
      </c>
    </row>
    <row r="89" spans="12:13" x14ac:dyDescent="0.3">
      <c r="L89" s="19">
        <f t="shared" si="10"/>
        <v>84</v>
      </c>
      <c r="M89" s="6">
        <v>0</v>
      </c>
    </row>
    <row r="90" spans="12:13" x14ac:dyDescent="0.3">
      <c r="L90" s="19">
        <f t="shared" si="10"/>
        <v>85</v>
      </c>
      <c r="M90" s="6">
        <v>0</v>
      </c>
    </row>
    <row r="91" spans="12:13" x14ac:dyDescent="0.3">
      <c r="L91" s="19">
        <f t="shared" si="10"/>
        <v>86</v>
      </c>
      <c r="M91" s="6">
        <v>0</v>
      </c>
    </row>
    <row r="92" spans="12:13" x14ac:dyDescent="0.3">
      <c r="L92" s="19">
        <f t="shared" si="10"/>
        <v>87</v>
      </c>
      <c r="M92" s="6">
        <v>0</v>
      </c>
    </row>
    <row r="93" spans="12:13" x14ac:dyDescent="0.3">
      <c r="L93" s="19">
        <f t="shared" si="10"/>
        <v>88</v>
      </c>
      <c r="M93" s="6">
        <v>0</v>
      </c>
    </row>
    <row r="94" spans="12:13" x14ac:dyDescent="0.3">
      <c r="L94" s="19">
        <f t="shared" si="10"/>
        <v>89</v>
      </c>
      <c r="M94" s="6">
        <v>0</v>
      </c>
    </row>
    <row r="95" spans="12:13" x14ac:dyDescent="0.3">
      <c r="L95" s="19">
        <f t="shared" si="10"/>
        <v>90</v>
      </c>
      <c r="M95" s="6">
        <v>0</v>
      </c>
    </row>
    <row r="96" spans="12:13" x14ac:dyDescent="0.3">
      <c r="L96" s="19">
        <f t="shared" si="10"/>
        <v>91</v>
      </c>
      <c r="M96" s="6">
        <v>0</v>
      </c>
    </row>
    <row r="97" spans="12:13" x14ac:dyDescent="0.3">
      <c r="L97" s="19">
        <f t="shared" si="10"/>
        <v>92</v>
      </c>
      <c r="M97" s="6">
        <v>0</v>
      </c>
    </row>
    <row r="98" spans="12:13" x14ac:dyDescent="0.3">
      <c r="L98" s="19">
        <f t="shared" si="10"/>
        <v>93</v>
      </c>
      <c r="M98" s="6">
        <v>0</v>
      </c>
    </row>
    <row r="99" spans="12:13" x14ac:dyDescent="0.3">
      <c r="L99" s="19">
        <f t="shared" si="10"/>
        <v>94</v>
      </c>
      <c r="M99" s="6">
        <v>0</v>
      </c>
    </row>
    <row r="100" spans="12:13" x14ac:dyDescent="0.3">
      <c r="L100" s="19">
        <f t="shared" si="10"/>
        <v>95</v>
      </c>
      <c r="M100" s="6">
        <v>0</v>
      </c>
    </row>
    <row r="101" spans="12:13" x14ac:dyDescent="0.3">
      <c r="L101" s="19">
        <f t="shared" si="10"/>
        <v>96</v>
      </c>
      <c r="M101" s="6">
        <v>0</v>
      </c>
    </row>
    <row r="102" spans="12:13" x14ac:dyDescent="0.3">
      <c r="L102" s="19">
        <f t="shared" si="10"/>
        <v>97</v>
      </c>
      <c r="M102" s="6">
        <v>0</v>
      </c>
    </row>
    <row r="103" spans="12:13" x14ac:dyDescent="0.3">
      <c r="L103" s="19">
        <f t="shared" si="10"/>
        <v>98</v>
      </c>
      <c r="M103" s="6">
        <v>0</v>
      </c>
    </row>
    <row r="104" spans="12:13" x14ac:dyDescent="0.3">
      <c r="L104" s="19">
        <f t="shared" si="10"/>
        <v>99</v>
      </c>
      <c r="M104" s="6">
        <v>0</v>
      </c>
    </row>
    <row r="105" spans="12:13" x14ac:dyDescent="0.3">
      <c r="L105" s="19">
        <f t="shared" si="10"/>
        <v>100</v>
      </c>
      <c r="M105" s="6">
        <v>0</v>
      </c>
    </row>
    <row r="106" spans="12:13" x14ac:dyDescent="0.3">
      <c r="L106" s="19">
        <f t="shared" si="10"/>
        <v>101</v>
      </c>
    </row>
    <row r="107" spans="12:13" x14ac:dyDescent="0.3">
      <c r="L107" s="19">
        <f t="shared" si="10"/>
        <v>102</v>
      </c>
    </row>
    <row r="108" spans="12:13" x14ac:dyDescent="0.3">
      <c r="L108" s="19">
        <f t="shared" si="10"/>
        <v>103</v>
      </c>
    </row>
    <row r="109" spans="12:13" x14ac:dyDescent="0.3">
      <c r="L109" s="19">
        <f t="shared" si="10"/>
        <v>104</v>
      </c>
    </row>
    <row r="110" spans="12:13" x14ac:dyDescent="0.3">
      <c r="L110" s="19">
        <f t="shared" si="10"/>
        <v>105</v>
      </c>
    </row>
  </sheetData>
  <mergeCells count="1">
    <mergeCell ref="B3:C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0"/>
  <sheetViews>
    <sheetView topLeftCell="L1" workbookViewId="0">
      <selection activeCell="T24" sqref="T24"/>
    </sheetView>
  </sheetViews>
  <sheetFormatPr defaultRowHeight="14.4" x14ac:dyDescent="0.3"/>
  <cols>
    <col min="5" max="5" width="2.109375" style="3" customWidth="1"/>
    <col min="6" max="9" width="9.109375" style="12"/>
    <col min="10" max="10" width="3" style="13" customWidth="1"/>
    <col min="11" max="11" width="2.5546875" style="6" customWidth="1"/>
    <col min="12" max="13" width="9.109375" style="6"/>
    <col min="14" max="14" width="11.33203125" style="6" customWidth="1"/>
    <col min="15" max="15" width="9.109375" style="6"/>
    <col min="16" max="16" width="2.109375" style="7" customWidth="1"/>
    <col min="17" max="17" width="2.109375" style="22" customWidth="1"/>
    <col min="18" max="18" width="8.44140625" style="24" customWidth="1"/>
    <col min="19" max="19" width="10.44140625" customWidth="1"/>
    <col min="21" max="21" width="16.44140625" style="18" customWidth="1"/>
  </cols>
  <sheetData>
    <row r="1" spans="1:21" x14ac:dyDescent="0.3">
      <c r="F1" s="12" t="s">
        <v>5</v>
      </c>
      <c r="L1" s="6" t="s">
        <v>9</v>
      </c>
    </row>
    <row r="2" spans="1:21" x14ac:dyDescent="0.3">
      <c r="F2" s="12" t="s">
        <v>8</v>
      </c>
    </row>
    <row r="3" spans="1:21" x14ac:dyDescent="0.3">
      <c r="B3" s="58" t="s">
        <v>19</v>
      </c>
      <c r="C3" s="58"/>
      <c r="M3" s="19">
        <v>2007</v>
      </c>
      <c r="N3" s="19" t="s">
        <v>13</v>
      </c>
      <c r="T3" t="s">
        <v>23</v>
      </c>
      <c r="U3" s="18" t="s">
        <v>25</v>
      </c>
    </row>
    <row r="4" spans="1:21" s="4" customFormat="1" x14ac:dyDescent="0.3">
      <c r="A4" s="16" t="s">
        <v>20</v>
      </c>
      <c r="B4" s="16" t="s">
        <v>17</v>
      </c>
      <c r="C4" s="16">
        <v>2007</v>
      </c>
      <c r="D4" s="16" t="s">
        <v>21</v>
      </c>
      <c r="E4" s="5"/>
      <c r="F4" s="14"/>
      <c r="G4" s="14" t="s">
        <v>3</v>
      </c>
      <c r="H4" s="14" t="s">
        <v>4</v>
      </c>
      <c r="I4" s="14" t="s">
        <v>2</v>
      </c>
      <c r="J4" s="15"/>
      <c r="K4" s="8"/>
      <c r="L4" s="20" t="s">
        <v>10</v>
      </c>
      <c r="M4" s="20" t="s">
        <v>12</v>
      </c>
      <c r="N4" s="20" t="s">
        <v>22</v>
      </c>
      <c r="O4" s="8"/>
      <c r="P4" s="9"/>
      <c r="Q4" s="23"/>
      <c r="R4" s="25" t="s">
        <v>24</v>
      </c>
      <c r="T4" s="4">
        <v>2007</v>
      </c>
      <c r="U4" s="16" t="s">
        <v>26</v>
      </c>
    </row>
    <row r="5" spans="1:21" x14ac:dyDescent="0.3">
      <c r="A5" s="18">
        <v>0</v>
      </c>
      <c r="B5" s="18">
        <v>-0.16363441482787225</v>
      </c>
      <c r="C5" s="18">
        <v>-5.5390409543757999E-2</v>
      </c>
      <c r="D5" s="18">
        <f>C5-B5</f>
        <v>0.10824400528411425</v>
      </c>
      <c r="F5" s="12">
        <v>1</v>
      </c>
      <c r="G5" s="12">
        <v>0.97132165665518599</v>
      </c>
      <c r="H5" s="12">
        <v>-5.0798065020768501E-2</v>
      </c>
      <c r="I5" s="12">
        <v>0.116203295751691</v>
      </c>
      <c r="L5" s="21">
        <v>0</v>
      </c>
      <c r="M5" s="6">
        <f>D5</f>
        <v>0.10824400528411425</v>
      </c>
      <c r="N5" s="6">
        <f>0</f>
        <v>0</v>
      </c>
      <c r="R5" s="24">
        <v>-1</v>
      </c>
      <c r="S5" s="1">
        <v>39387</v>
      </c>
      <c r="T5" s="2">
        <v>4.7</v>
      </c>
      <c r="U5" s="27">
        <f>T5</f>
        <v>4.7</v>
      </c>
    </row>
    <row r="6" spans="1:21" x14ac:dyDescent="0.3">
      <c r="A6" s="18">
        <f>A5+1</f>
        <v>1</v>
      </c>
      <c r="B6" s="18">
        <v>-0.19412110504071639</v>
      </c>
      <c r="C6" s="18">
        <v>-0.52785409323362598</v>
      </c>
      <c r="D6" s="18">
        <f>(C6-C5)-(B6-B5)</f>
        <v>-0.44197699347702379</v>
      </c>
      <c r="F6" s="12">
        <v>2</v>
      </c>
      <c r="G6" s="12">
        <v>0.17193252591855199</v>
      </c>
      <c r="H6" s="12">
        <v>1.8920987941651299E-2</v>
      </c>
      <c r="L6" s="19">
        <v>1</v>
      </c>
      <c r="M6" s="6">
        <f t="shared" ref="M6:M69" si="0">D6</f>
        <v>-0.44197699347702379</v>
      </c>
      <c r="N6" s="6">
        <f>G$5*N5+H$5*M5</f>
        <v>-5.498586018530845E-3</v>
      </c>
      <c r="R6" s="24">
        <v>0</v>
      </c>
      <c r="S6" s="1">
        <v>39417</v>
      </c>
      <c r="T6" s="2">
        <v>5</v>
      </c>
      <c r="U6" s="27">
        <f>T6</f>
        <v>5</v>
      </c>
    </row>
    <row r="7" spans="1:21" x14ac:dyDescent="0.3">
      <c r="A7" s="18">
        <f t="shared" ref="A7:A53" si="1">A6+1</f>
        <v>2</v>
      </c>
      <c r="B7" s="18">
        <v>2.0533216256124837E-2</v>
      </c>
      <c r="C7" s="18">
        <v>-0.52785409323362598</v>
      </c>
      <c r="D7" s="18">
        <f t="shared" ref="D7:D41" si="2">(C7-C6)-(B7-B6)</f>
        <v>-0.21465432129684123</v>
      </c>
      <c r="F7" s="12">
        <v>3</v>
      </c>
      <c r="G7" s="12">
        <v>3.2012325767390597E-2</v>
      </c>
      <c r="H7" s="12">
        <v>-1.09532845050231E-2</v>
      </c>
      <c r="L7" s="19">
        <v>2</v>
      </c>
      <c r="M7" s="6">
        <f t="shared" si="0"/>
        <v>-0.21465432129684123</v>
      </c>
      <c r="N7" s="6">
        <f>G$5*N6+G$6*N5+H$5*M6+H$6*M5</f>
        <v>1.9158763890285972E-2</v>
      </c>
      <c r="R7" s="24">
        <v>1</v>
      </c>
      <c r="S7" s="1">
        <v>39448</v>
      </c>
      <c r="T7" s="2">
        <v>5</v>
      </c>
      <c r="U7" s="27">
        <f>T7-N6</f>
        <v>5.0054985860185308</v>
      </c>
    </row>
    <row r="8" spans="1:21" x14ac:dyDescent="0.3">
      <c r="A8" s="18">
        <f t="shared" si="1"/>
        <v>3</v>
      </c>
      <c r="B8" s="18">
        <v>-0.89505631177388989</v>
      </c>
      <c r="C8" s="18">
        <v>-1.0158201906579929</v>
      </c>
      <c r="D8" s="18">
        <f t="shared" si="2"/>
        <v>0.42762343060564778</v>
      </c>
      <c r="F8" s="12">
        <v>4</v>
      </c>
      <c r="G8" s="12">
        <v>-4.1751144496329697E-2</v>
      </c>
      <c r="H8" s="12">
        <v>-1.3412907958196701E-2</v>
      </c>
      <c r="L8" s="19">
        <v>3</v>
      </c>
      <c r="M8" s="6">
        <f t="shared" si="0"/>
        <v>0.42762343060564778</v>
      </c>
      <c r="N8" s="6">
        <f>G$5*N7+G$6*N6+G$7*N5+H$5*M7+H$6*M6+H$7*M5</f>
        <v>1.9019691918551365E-2</v>
      </c>
      <c r="R8" s="24">
        <f>R7+1</f>
        <v>2</v>
      </c>
      <c r="S8" s="1">
        <v>39479</v>
      </c>
      <c r="T8" s="2">
        <v>4.9000000000000004</v>
      </c>
      <c r="U8" s="27">
        <f t="shared" ref="U8:U71" si="3">T8-N7</f>
        <v>4.8808412361097142</v>
      </c>
    </row>
    <row r="9" spans="1:21" x14ac:dyDescent="0.3">
      <c r="A9" s="18">
        <f t="shared" si="1"/>
        <v>4</v>
      </c>
      <c r="B9" s="18">
        <v>-1.0196887171393891</v>
      </c>
      <c r="C9" s="18">
        <v>-1.175473670918993</v>
      </c>
      <c r="D9" s="18">
        <f t="shared" si="2"/>
        <v>-3.5021074895500881E-2</v>
      </c>
      <c r="F9" s="12">
        <v>5</v>
      </c>
      <c r="G9" s="12">
        <v>-7.7196156434740607E-2</v>
      </c>
      <c r="H9" s="12">
        <v>5.9080706844004197E-2</v>
      </c>
      <c r="L9" s="19">
        <v>4</v>
      </c>
      <c r="M9" s="6">
        <f t="shared" si="0"/>
        <v>-3.5021074895500881E-2</v>
      </c>
      <c r="N9" s="6">
        <f>G$5*N8+G$6*N7+G$7*N6+G$8*N5+H$5*M8+H$6*M7+H$7*M6+H$8*M5</f>
        <v>-8.0245097721711183E-4</v>
      </c>
      <c r="R9" s="24">
        <f t="shared" ref="R9:R72" si="4">R8+1</f>
        <v>3</v>
      </c>
      <c r="S9" s="1">
        <v>39508</v>
      </c>
      <c r="T9" s="2">
        <v>5.0999999999999996</v>
      </c>
      <c r="U9" s="27">
        <f t="shared" si="3"/>
        <v>5.0809803080814486</v>
      </c>
    </row>
    <row r="10" spans="1:21" x14ac:dyDescent="0.3">
      <c r="A10" s="18">
        <f t="shared" si="1"/>
        <v>5</v>
      </c>
      <c r="B10" s="18">
        <v>-0.83090114655859626</v>
      </c>
      <c r="C10" s="18">
        <v>-1.175473670918993</v>
      </c>
      <c r="D10" s="18">
        <f t="shared" si="2"/>
        <v>-0.18878757058079287</v>
      </c>
      <c r="F10" s="12">
        <v>6</v>
      </c>
      <c r="G10" s="12">
        <v>8.2494470788330495E-3</v>
      </c>
      <c r="H10" s="12">
        <v>3.4696330464081403E-2</v>
      </c>
      <c r="L10" s="19">
        <f>L9+1</f>
        <v>5</v>
      </c>
      <c r="M10" s="6">
        <f t="shared" si="0"/>
        <v>-0.18878757058079287</v>
      </c>
      <c r="N10" s="6">
        <f>G$5*N9+G$6*N8+G$7*N7+G$8*N6+G$9*N5+H$5*M9+H$6*M8+H$7*M7+H$8*M6+H$9*M5</f>
        <v>2.7878114053567882E-2</v>
      </c>
      <c r="R10" s="24">
        <f t="shared" si="4"/>
        <v>4</v>
      </c>
      <c r="S10" s="1">
        <v>39539</v>
      </c>
      <c r="T10" s="2">
        <v>5</v>
      </c>
      <c r="U10" s="27">
        <f t="shared" si="3"/>
        <v>5.0008024509772175</v>
      </c>
    </row>
    <row r="11" spans="1:21" x14ac:dyDescent="0.3">
      <c r="A11" s="18">
        <f t="shared" si="1"/>
        <v>6</v>
      </c>
      <c r="B11" s="18">
        <v>-0.67972573690058247</v>
      </c>
      <c r="C11" s="18">
        <v>-1.1862074587856017</v>
      </c>
      <c r="D11" s="18">
        <f t="shared" si="2"/>
        <v>-0.16190919752462252</v>
      </c>
      <c r="F11" s="12">
        <v>7</v>
      </c>
      <c r="G11" s="12">
        <v>-6.7693214313629901E-2</v>
      </c>
      <c r="H11" s="12">
        <v>3.3556428170122499E-2</v>
      </c>
      <c r="L11" s="19">
        <f t="shared" ref="L11:L74" si="5">L10+1</f>
        <v>6</v>
      </c>
      <c r="M11" s="6">
        <f t="shared" si="0"/>
        <v>-0.16190919752462252</v>
      </c>
      <c r="N11" s="6">
        <f>G$5*N10+G$6*N9+G$7*N8+G$8*N7+G$9*N6+G$10*N5+H$5*M10+H$6*M9+H$7*M8+H$8*M7+H$9*M6+H$10*M5</f>
        <v>1.1940106566392748E-2</v>
      </c>
      <c r="R11" s="24">
        <f t="shared" si="4"/>
        <v>5</v>
      </c>
      <c r="S11" s="1">
        <v>39569</v>
      </c>
      <c r="T11" s="2">
        <v>5.4</v>
      </c>
      <c r="U11" s="27">
        <f t="shared" si="3"/>
        <v>5.3721218859464326</v>
      </c>
    </row>
    <row r="12" spans="1:21" x14ac:dyDescent="0.3">
      <c r="A12" s="18">
        <f t="shared" si="1"/>
        <v>7</v>
      </c>
      <c r="B12" s="18">
        <v>-0.44452747214128363</v>
      </c>
      <c r="C12" s="18">
        <v>-1.1862074587856017</v>
      </c>
      <c r="D12" s="18">
        <f t="shared" si="2"/>
        <v>-0.23519826475929884</v>
      </c>
      <c r="F12" s="12">
        <v>8</v>
      </c>
      <c r="G12" s="12">
        <v>3.79096494416484E-3</v>
      </c>
      <c r="H12" s="12">
        <v>-1.12366172257329E-2</v>
      </c>
      <c r="L12" s="19">
        <f t="shared" si="5"/>
        <v>7</v>
      </c>
      <c r="M12" s="6">
        <f t="shared" si="0"/>
        <v>-0.23519826475929884</v>
      </c>
      <c r="N12" s="6">
        <f>G$5*N11+G$6*N10+G$7*N9+G$8*N8+G$9*N7+G$10*N6+G$11*N5+H$5*M11+H$6*M10+H$7*M9+H$8*M8+H$9*M7+H$10*M6+H$11*M5</f>
        <v>-1.1037364784648646E-2</v>
      </c>
      <c r="R12" s="24">
        <f t="shared" si="4"/>
        <v>6</v>
      </c>
      <c r="S12" s="1">
        <v>39600</v>
      </c>
      <c r="T12" s="2">
        <v>5.6</v>
      </c>
      <c r="U12" s="27">
        <f t="shared" si="3"/>
        <v>5.5880598934336065</v>
      </c>
    </row>
    <row r="13" spans="1:21" x14ac:dyDescent="0.3">
      <c r="A13" s="18">
        <f t="shared" si="1"/>
        <v>8</v>
      </c>
      <c r="B13" s="18">
        <v>-0.47968797543964814</v>
      </c>
      <c r="C13" s="18">
        <v>-1.0093551844363566</v>
      </c>
      <c r="D13" s="18">
        <f t="shared" si="2"/>
        <v>0.21201277764760962</v>
      </c>
      <c r="F13" s="12">
        <v>9</v>
      </c>
      <c r="G13" s="12">
        <v>1.9047712583310901E-2</v>
      </c>
      <c r="H13" s="12">
        <v>-8.4348657422356095E-3</v>
      </c>
      <c r="L13" s="19">
        <f t="shared" si="5"/>
        <v>8</v>
      </c>
      <c r="M13" s="6">
        <f t="shared" si="0"/>
        <v>0.21201277764760962</v>
      </c>
      <c r="N13" s="6">
        <f>G$5*N12+G$6*N11+G$7*N10+G$8*N9+G$9*N8+G$10*N7+G$11*N6+G$12*N5+H$5*M12+H$6*M11+H$7*M10+H$8*M9+H$9*M8+H$10*M7+H$11*M6+H$12*M5</f>
        <v>4.5108515923544777E-3</v>
      </c>
      <c r="R13" s="24">
        <f t="shared" si="4"/>
        <v>7</v>
      </c>
      <c r="S13" s="1">
        <v>39630</v>
      </c>
      <c r="T13" s="2">
        <v>5.8</v>
      </c>
      <c r="U13" s="27">
        <f t="shared" si="3"/>
        <v>5.8110373647846485</v>
      </c>
    </row>
    <row r="14" spans="1:21" x14ac:dyDescent="0.3">
      <c r="A14" s="18">
        <f t="shared" si="1"/>
        <v>9</v>
      </c>
      <c r="B14" s="18">
        <v>-0.23244361797101398</v>
      </c>
      <c r="C14" s="18">
        <v>-0.90665549307127957</v>
      </c>
      <c r="D14" s="18">
        <f t="shared" si="2"/>
        <v>-0.1445446661035571</v>
      </c>
      <c r="F14" s="12">
        <v>10</v>
      </c>
      <c r="G14" s="12">
        <v>-6.3387531946679301E-2</v>
      </c>
      <c r="H14" s="12">
        <v>4.14180336912549E-2</v>
      </c>
      <c r="L14" s="19">
        <f t="shared" si="5"/>
        <v>9</v>
      </c>
      <c r="M14" s="6">
        <f t="shared" si="0"/>
        <v>-0.1445446661035571</v>
      </c>
      <c r="N14" s="6">
        <f>G$5*N13+G$6*N12+G$7*N11+G$8*N10+G$9*N9+G$10*N8+G$11*N7+G$12*N6+G$13*N5+H$5*M13+H$6*M12+H$7*M11+H$8*M10+H$9*M9+H$10*M8+H$11*M7+H$12*M6+H$13*M5</f>
        <v>-6.9305218382145132E-4</v>
      </c>
      <c r="R14" s="24">
        <f t="shared" si="4"/>
        <v>8</v>
      </c>
      <c r="S14" s="1">
        <v>39661</v>
      </c>
      <c r="T14" s="2">
        <v>6.1</v>
      </c>
      <c r="U14" s="27">
        <f t="shared" si="3"/>
        <v>6.095489148407645</v>
      </c>
    </row>
    <row r="15" spans="1:21" x14ac:dyDescent="0.3">
      <c r="A15" s="18">
        <f t="shared" si="1"/>
        <v>10</v>
      </c>
      <c r="B15" s="18">
        <v>0.10181353569821966</v>
      </c>
      <c r="C15" s="18">
        <v>-1.0240375022742096</v>
      </c>
      <c r="D15" s="18">
        <f t="shared" si="2"/>
        <v>-0.45163916287216371</v>
      </c>
      <c r="F15" s="12">
        <v>11</v>
      </c>
      <c r="G15" s="12">
        <v>0.14179562314265201</v>
      </c>
      <c r="H15" s="12">
        <v>2.6352124104481001E-2</v>
      </c>
      <c r="L15" s="19">
        <f t="shared" si="5"/>
        <v>10</v>
      </c>
      <c r="M15" s="6">
        <f t="shared" si="0"/>
        <v>-0.45163916287216371</v>
      </c>
      <c r="N15" s="6">
        <f>G$5*N14+G$6*N13+G$7*N12+G$8*N11+G$9*N10+G$10*N9+G$11*N8+G$12*N7+G$13*N6+G$14*N5+H$5*M14+H$6*M13+H$7*M12+H$8*M11+H$9*M10+H$10*M9+H$11*M8+H$12*M7+H$13*M6+H$14*M5</f>
        <v>2.4478143450348069E-2</v>
      </c>
      <c r="R15" s="24">
        <f t="shared" si="4"/>
        <v>9</v>
      </c>
      <c r="S15" s="1">
        <v>39692</v>
      </c>
      <c r="T15" s="2">
        <v>6.1</v>
      </c>
      <c r="U15" s="27">
        <f t="shared" si="3"/>
        <v>6.1006930521838214</v>
      </c>
    </row>
    <row r="16" spans="1:21" x14ac:dyDescent="0.3">
      <c r="A16" s="18">
        <f t="shared" si="1"/>
        <v>11</v>
      </c>
      <c r="B16" s="18">
        <v>-0.22705258252132138</v>
      </c>
      <c r="C16" s="18">
        <v>-1.0240375022742096</v>
      </c>
      <c r="D16" s="18">
        <f t="shared" si="2"/>
        <v>0.32886611821954104</v>
      </c>
      <c r="F16" s="12">
        <v>12</v>
      </c>
      <c r="G16" s="12">
        <v>-0.220190716487557</v>
      </c>
      <c r="H16" s="12">
        <v>3.9486867049303702E-2</v>
      </c>
      <c r="L16" s="19">
        <f t="shared" si="5"/>
        <v>11</v>
      </c>
      <c r="M16" s="6">
        <f t="shared" si="0"/>
        <v>0.32886611821954104</v>
      </c>
      <c r="N16" s="6">
        <f>G$5*N15+G$6*N14+G$7*N13+G$8*N12+G$9*N11+G$10*N10+G$11*N9+G$12*N8+G$13*N7+G$14*N6+G$15*N5+H$5*M15+H$6*M14+H$7*M13+H$8*M12+H$9*M11+H$10*M10+H$11*M9+H$12*M8+H$13*M7+H$14*M6+H$15*M5</f>
        <v>9.7113398425799219E-3</v>
      </c>
      <c r="R16" s="24">
        <f t="shared" si="4"/>
        <v>10</v>
      </c>
      <c r="S16" s="1">
        <v>39722</v>
      </c>
      <c r="T16" s="2">
        <v>6.5</v>
      </c>
      <c r="U16" s="27">
        <f t="shared" si="3"/>
        <v>6.4755218565496522</v>
      </c>
    </row>
    <row r="17" spans="1:21" x14ac:dyDescent="0.3">
      <c r="A17" s="18">
        <f t="shared" si="1"/>
        <v>12</v>
      </c>
      <c r="B17" s="18">
        <v>-0.26780817224569409</v>
      </c>
      <c r="C17" s="18">
        <v>-1.2465464133963466</v>
      </c>
      <c r="D17" s="18">
        <f t="shared" si="2"/>
        <v>-0.18175332139776429</v>
      </c>
      <c r="F17" s="12">
        <f>F16+1</f>
        <v>13</v>
      </c>
      <c r="G17" s="12">
        <v>4.1647455402133701E-2</v>
      </c>
      <c r="H17" s="12">
        <v>-5.0517557020260798E-2</v>
      </c>
      <c r="L17" s="19">
        <f t="shared" si="5"/>
        <v>12</v>
      </c>
      <c r="M17" s="6">
        <f t="shared" si="0"/>
        <v>-0.18175332139776429</v>
      </c>
      <c r="N17" s="6">
        <f>G$5*N16+G$6*N15+G$7*N14+G$8*N13+G$9*N12+G$10*N11+G$11*N10+G$12*N9+G$13*N8+G$14*N7+G$15*N6+G$16*N5+H$5*M16+H$6*M15+H$7*M14+H$8*M13+H$9*M12+H$10*M11+H$11*M10+H$12*M9+H$13*M8+H$14*M7+H$15*M6+H$16*M5</f>
        <v>-6.0977441650481294E-2</v>
      </c>
      <c r="R17" s="24">
        <f t="shared" si="4"/>
        <v>11</v>
      </c>
      <c r="S17" s="1">
        <v>39753</v>
      </c>
      <c r="T17" s="2">
        <v>6.8</v>
      </c>
      <c r="U17" s="27">
        <f t="shared" si="3"/>
        <v>6.7902886601574197</v>
      </c>
    </row>
    <row r="18" spans="1:21" x14ac:dyDescent="0.3">
      <c r="A18" s="18">
        <f t="shared" si="1"/>
        <v>13</v>
      </c>
      <c r="B18" s="18">
        <v>-0.7455141928047222</v>
      </c>
      <c r="C18" s="18">
        <v>-0.76843043002732925</v>
      </c>
      <c r="D18" s="18">
        <f t="shared" si="2"/>
        <v>0.9558220039280455</v>
      </c>
      <c r="F18" s="12">
        <f t="shared" ref="F18:F40" si="6">F17+1</f>
        <v>14</v>
      </c>
      <c r="G18" s="12">
        <v>-7.8565737942714001E-2</v>
      </c>
      <c r="H18" s="12">
        <v>-9.6150662902674301E-3</v>
      </c>
      <c r="L18" s="19">
        <f t="shared" si="5"/>
        <v>13</v>
      </c>
      <c r="M18" s="6">
        <f t="shared" si="0"/>
        <v>0.9558220039280455</v>
      </c>
      <c r="N18" s="6">
        <f>G$5*N17+G$6*N16+G$7*N15+G$8*N14+G$9*N13+G$10*N12+G$11*N11+G$12*N10+G$13*N9+G$14*N8+G$15*N7+G$16*N6+G$17*N5+H$5*M17+H$6*M16+H$7*M15+H$8*M14+H$9*M13+H$10*M12+H$11*M11+H$12*M10+H$13*M9+H$14*M8+H$15*M7+H$16*M6+H$17*M5</f>
        <v>-4.2357772240913333E-2</v>
      </c>
      <c r="R18" s="24">
        <f t="shared" si="4"/>
        <v>12</v>
      </c>
      <c r="S18" s="1">
        <v>39783</v>
      </c>
      <c r="T18" s="2">
        <v>7.3</v>
      </c>
      <c r="U18" s="27">
        <f t="shared" si="3"/>
        <v>7.3609774416504807</v>
      </c>
    </row>
    <row r="19" spans="1:21" x14ac:dyDescent="0.3">
      <c r="A19" s="18">
        <f t="shared" si="1"/>
        <v>14</v>
      </c>
      <c r="B19" s="18">
        <v>-0.77052338362643491</v>
      </c>
      <c r="C19" s="18">
        <v>-4.6184107386667506E-2</v>
      </c>
      <c r="D19" s="18">
        <f t="shared" si="2"/>
        <v>0.7472555134623744</v>
      </c>
      <c r="F19" s="12">
        <f t="shared" si="6"/>
        <v>15</v>
      </c>
      <c r="G19" s="12">
        <v>0.14423426554972599</v>
      </c>
      <c r="H19" s="12">
        <v>-1.18386675031509E-2</v>
      </c>
      <c r="L19" s="19">
        <f t="shared" si="5"/>
        <v>14</v>
      </c>
      <c r="M19" s="6">
        <f t="shared" si="0"/>
        <v>0.7472555134623744</v>
      </c>
      <c r="N19" s="6">
        <f>G$5*N18+G$6*N17+G$7*N16+G$8*N15+G$9*N14+G$10*N13+G$11*N12+G$12*N11+G$13*N10+G$14*N9+G$15*N8+G$16*N7+G$17*N6+G$18*N5+H$5*M18+H$6*M17+H$7*M16+H$8*M15+H$9*M14+H$10*M13+H$11*M12+H$12*M11+H$13*M10+H$14*M9+H$15*M8+H$16*M7+H$17*M6+H$18*M5</f>
        <v>-8.5196388572792825E-2</v>
      </c>
      <c r="R19" s="24">
        <f t="shared" si="4"/>
        <v>13</v>
      </c>
      <c r="S19" s="1">
        <v>39814</v>
      </c>
      <c r="T19" s="2">
        <v>7.8</v>
      </c>
      <c r="U19" s="27">
        <f t="shared" si="3"/>
        <v>7.8423577722409128</v>
      </c>
    </row>
    <row r="20" spans="1:21" x14ac:dyDescent="0.3">
      <c r="A20" s="18">
        <f t="shared" si="1"/>
        <v>15</v>
      </c>
      <c r="B20" s="18">
        <v>-0.79117136572166946</v>
      </c>
      <c r="C20" s="18">
        <v>0.19002059674204763</v>
      </c>
      <c r="D20" s="18">
        <f t="shared" si="2"/>
        <v>0.25685268622394969</v>
      </c>
      <c r="F20" s="12">
        <f t="shared" si="6"/>
        <v>16</v>
      </c>
      <c r="G20" s="12">
        <v>8.3197230368548397E-2</v>
      </c>
      <c r="H20" s="12">
        <v>-3.0026620796342E-2</v>
      </c>
      <c r="L20" s="19">
        <f t="shared" si="5"/>
        <v>15</v>
      </c>
      <c r="M20" s="6">
        <f t="shared" si="0"/>
        <v>0.25685268622394969</v>
      </c>
      <c r="N20" s="6">
        <f>G$5*N19+G$6*N18+G$7*N17+G$8*N16+G$9*N15+G$10*N14+G$11*N13+G$12*N12+G$13*N11+G$14*N10+G$15*N9+G$16*N8+G$17*N7+G$18*N6+G$19*N5+H$5*M19+H$6*M18+H$7*M17+H$8*M16+H$9*M15+H$10*M14+H$11*M13+H$12*M12+H$13*M11+H$14*M10+H$15*M9+H$16*M8+H$17*M7+H$18*M6+H$19*M5</f>
        <v>-0.12016163136572984</v>
      </c>
      <c r="R20" s="24">
        <f t="shared" si="4"/>
        <v>14</v>
      </c>
      <c r="S20" s="1">
        <v>39845</v>
      </c>
      <c r="T20" s="2">
        <v>8.3000000000000007</v>
      </c>
      <c r="U20" s="27">
        <f t="shared" si="3"/>
        <v>8.385196388572794</v>
      </c>
    </row>
    <row r="21" spans="1:21" x14ac:dyDescent="0.3">
      <c r="A21" s="18">
        <f t="shared" si="1"/>
        <v>16</v>
      </c>
      <c r="B21" s="18">
        <v>-0.38910295499303871</v>
      </c>
      <c r="C21" s="18">
        <v>0.32421494862201317</v>
      </c>
      <c r="D21" s="18">
        <f t="shared" si="2"/>
        <v>-0.26787405884866522</v>
      </c>
      <c r="F21" s="12">
        <f t="shared" si="6"/>
        <v>17</v>
      </c>
      <c r="G21" s="12">
        <v>-7.2815925492130201E-2</v>
      </c>
      <c r="H21" s="12">
        <v>9.8576495093000201E-3</v>
      </c>
      <c r="L21" s="19">
        <f t="shared" si="5"/>
        <v>16</v>
      </c>
      <c r="M21" s="6">
        <f t="shared" si="0"/>
        <v>-0.26787405884866522</v>
      </c>
      <c r="N21" s="6">
        <f>G$5*N20+G$6*N19+G$7*N18+G$8*N17+G$9*N16+G$10*N15+G$11*N14+G$12*N13+G$13*N12+G$14*N11+G$15*N10+G$16*N9+G$17*N8+G$18*N7+G$19*N6+G$20*N5+H$5*M20+H$6*M19+H$7*M18+H$8*M17+H$9*M16+H$10*M15+H$11*M14+H$12*M13+H$13*M12+H$14*M11+H$15*M10+H$16*M9+H$17*M8+H$18*M7+H$19*M6+H$20*M5</f>
        <v>-0.16805096240370124</v>
      </c>
      <c r="R21" s="24">
        <f t="shared" si="4"/>
        <v>15</v>
      </c>
      <c r="S21" s="1">
        <v>39873</v>
      </c>
      <c r="T21" s="2">
        <v>8.6999999999999993</v>
      </c>
      <c r="U21" s="27">
        <f t="shared" si="3"/>
        <v>8.8201616313657283</v>
      </c>
    </row>
    <row r="22" spans="1:21" x14ac:dyDescent="0.3">
      <c r="A22" s="18">
        <f t="shared" si="1"/>
        <v>17</v>
      </c>
      <c r="B22" s="18">
        <v>-0.35699991673522735</v>
      </c>
      <c r="C22" s="18">
        <v>0.3069774093378419</v>
      </c>
      <c r="D22" s="18">
        <f t="shared" si="2"/>
        <v>-4.9340577541982622E-2</v>
      </c>
      <c r="F22" s="12">
        <f t="shared" si="6"/>
        <v>18</v>
      </c>
      <c r="G22" s="12">
        <v>1.29874536664264E-2</v>
      </c>
      <c r="H22" s="12">
        <v>4.8930777648494697E-2</v>
      </c>
      <c r="L22" s="19">
        <f t="shared" si="5"/>
        <v>17</v>
      </c>
      <c r="M22" s="6">
        <f t="shared" si="0"/>
        <v>-4.9340577541982622E-2</v>
      </c>
      <c r="N22" s="6">
        <f>G$5*N21+G$6*N20+G$7*N19+G$8*N18+G$9*N17+G$10*N16+G$11*N15+G$12*N14+G$13*N13+G$14*N12+G$15*N11+G$16*N10+G$17*N9+G$18*N8+G$19*N7+G$20*N6+G$21*N5+H$5*M21+H$6*M20+H$7*M19+H$8*M18+H$9*M17+H$10*M16+H$11*M15+H$12*M14+H$13*M13+H$14*M12+H$15*M11+H$16*M10+H$17*M9+H$18*M8+H$19*M7+H$20*M6+H$21*M5</f>
        <v>-0.20871498854011142</v>
      </c>
      <c r="R22" s="24">
        <f t="shared" si="4"/>
        <v>16</v>
      </c>
      <c r="S22" s="1">
        <v>39904</v>
      </c>
      <c r="T22" s="2">
        <v>9</v>
      </c>
      <c r="U22" s="27">
        <f t="shared" si="3"/>
        <v>9.1680509624037008</v>
      </c>
    </row>
    <row r="23" spans="1:21" x14ac:dyDescent="0.3">
      <c r="A23" s="18">
        <f t="shared" si="1"/>
        <v>18</v>
      </c>
      <c r="B23" s="18">
        <v>-0.38261919501707686</v>
      </c>
      <c r="C23" s="18">
        <v>0.42443572917620309</v>
      </c>
      <c r="D23" s="18">
        <f t="shared" si="2"/>
        <v>0.1430775981202107</v>
      </c>
      <c r="F23" s="12">
        <f t="shared" si="6"/>
        <v>19</v>
      </c>
      <c r="G23" s="12">
        <v>2.44131273447581E-2</v>
      </c>
      <c r="H23" s="12">
        <v>2.4252080980813401E-2</v>
      </c>
      <c r="L23" s="19">
        <f t="shared" si="5"/>
        <v>18</v>
      </c>
      <c r="M23" s="6">
        <f t="shared" si="0"/>
        <v>0.1430775981202107</v>
      </c>
      <c r="N23" s="6">
        <f>G$5*N22+G$6*N21+G$7*N20+G$8*N19+G$9*N18+G$10*N17+G$11*N16+G$12*N15+G$13*N14+G$14*N13+G$15*N12+G$16*N11+G$17*N10+G$18*N9+G$19*N8+G$20*N7+G$21*N6+G$22*N5+H$5*M22+H$6*M21+H$7*M20+H$8*M19+H$9*M18+H$10*M17+H$11*M16+H$12*M15+H$13*M14+H$14*M13+H$15*M12+H$16*M11+H$17*M10+H$18*M9+H$19*M8+H$20*M7+H$21*M6+H$22*M5</f>
        <v>-0.16775971058655398</v>
      </c>
      <c r="R23" s="24">
        <f t="shared" si="4"/>
        <v>17</v>
      </c>
      <c r="S23" s="1">
        <v>39934</v>
      </c>
      <c r="T23" s="2">
        <v>9.4</v>
      </c>
      <c r="U23" s="27">
        <f t="shared" si="3"/>
        <v>9.6087149885401111</v>
      </c>
    </row>
    <row r="24" spans="1:21" x14ac:dyDescent="0.3">
      <c r="A24" s="18">
        <f t="shared" si="1"/>
        <v>19</v>
      </c>
      <c r="B24" s="18">
        <v>-1.0021727302419847</v>
      </c>
      <c r="C24" s="18">
        <v>0.54348748513811396</v>
      </c>
      <c r="D24" s="18">
        <f t="shared" si="2"/>
        <v>0.73860529118681872</v>
      </c>
      <c r="F24" s="12">
        <f t="shared" si="6"/>
        <v>20</v>
      </c>
      <c r="G24" s="12">
        <v>-5.7319371233362303E-2</v>
      </c>
      <c r="H24" s="12">
        <v>3.2762188897438503E-2</v>
      </c>
      <c r="L24" s="19">
        <f t="shared" si="5"/>
        <v>19</v>
      </c>
      <c r="M24" s="6">
        <f t="shared" si="0"/>
        <v>0.73860529118681872</v>
      </c>
      <c r="N24" s="6">
        <f>G$5*N23+G$6*N22+G$7*N21+G$8*N20+G$9*N19+G$10*N18+G$11*N17+G$12*N16+G$13*N15+G$14*N14+G$15*N13+G$16*N12+G$17*N11+G$18*N10+G$19*N9+G$20*N8+G$21*N7+G$22*N6+G$23*N5+H$5*M23+H$6*M22+H$7*M21+H$8*M20+H$9*M19+H$10*M18+H$11*M17+H$12*M16+H$13*M15+H$14*M14+H$15*M13+H$16*M12+H$17*M11+H$18*M10+H$19*M9+H$20*M8+H$21*M7+H$22*M6+H$23*M5</f>
        <v>-0.15753781775185838</v>
      </c>
      <c r="R24" s="24">
        <f t="shared" si="4"/>
        <v>18</v>
      </c>
      <c r="S24" s="1">
        <v>39965</v>
      </c>
      <c r="T24" s="2">
        <v>9.5</v>
      </c>
      <c r="U24" s="27">
        <f t="shared" si="3"/>
        <v>9.6677597105865534</v>
      </c>
    </row>
    <row r="25" spans="1:21" x14ac:dyDescent="0.3">
      <c r="A25" s="18">
        <f t="shared" si="1"/>
        <v>20</v>
      </c>
      <c r="B25" s="18">
        <v>-0.94863592770245708</v>
      </c>
      <c r="C25" s="18">
        <v>0.71941826570060408</v>
      </c>
      <c r="D25" s="18">
        <f t="shared" si="2"/>
        <v>0.12239397802296248</v>
      </c>
      <c r="F25" s="12">
        <f t="shared" si="6"/>
        <v>21</v>
      </c>
      <c r="G25" s="12">
        <v>4.3042009740897599E-2</v>
      </c>
      <c r="H25" s="12">
        <v>-3.1267653525346301E-2</v>
      </c>
      <c r="L25" s="19">
        <f t="shared" si="5"/>
        <v>20</v>
      </c>
      <c r="M25" s="6">
        <f t="shared" si="0"/>
        <v>0.12239397802296248</v>
      </c>
      <c r="N25" s="6">
        <f>G$5*N24+G$6*N23+G$7*N22+G$8*N21+G$9*N20+G$10*N19+G$11*N18+G$12*N17+G$13*N16+G$14*N15+G$15*N14+G$16*N13+G$17*N12+G$18*N11+G$19*N10+G$20*N9+G$21*N8+G$22*N7+G$23*N6+G$24*N5+H$5*M24+H$6*M23+H$7*M22+H$8*M21+H$9*M20+H$10*M19+H$11*M18+H$12*M17+H$13*M16+H$14*M15+H$15*M14+H$16*M13+H$17*M12+H$18*M11+H$19*M10+H$20*M9+H$21*M8+H$22*M7+H$23*M6+H$24*M5</f>
        <v>-0.14060458029131009</v>
      </c>
      <c r="R25" s="24">
        <f t="shared" si="4"/>
        <v>19</v>
      </c>
      <c r="S25" s="1">
        <v>39995</v>
      </c>
      <c r="T25" s="2">
        <v>9.5</v>
      </c>
      <c r="U25" s="27">
        <f t="shared" si="3"/>
        <v>9.6575378177518587</v>
      </c>
    </row>
    <row r="26" spans="1:21" x14ac:dyDescent="0.3">
      <c r="A26" s="18">
        <f t="shared" si="1"/>
        <v>21</v>
      </c>
      <c r="B26" s="18">
        <v>-1.0035682401966717</v>
      </c>
      <c r="C26" s="18">
        <v>0.78780398918127847</v>
      </c>
      <c r="D26" s="18">
        <f t="shared" si="2"/>
        <v>0.123318035974889</v>
      </c>
      <c r="F26" s="12">
        <f t="shared" si="6"/>
        <v>22</v>
      </c>
      <c r="G26" s="12">
        <v>-1.01988938661373E-2</v>
      </c>
      <c r="H26" s="12">
        <v>4.6005498801310503E-2</v>
      </c>
      <c r="L26" s="19">
        <f t="shared" si="5"/>
        <v>21</v>
      </c>
      <c r="M26" s="6">
        <f t="shared" si="0"/>
        <v>0.123318035974889</v>
      </c>
      <c r="N26" s="6">
        <f>G$5*N25+G$6*N24+G$7*N23+G$8*N22+G$9*N21+G$10*N20+G$11*N19+G$12*N18+G$13*N17+G$14*N16+G$15*N15+G$16*N14+G$17*N13+G$18*N12+G$19*N11+G$20*N10+G$21*N9+G$22*N8+G$23*N7+G$24*N6+G$25*N5+H$5*M25+H$6*M24+H$7*M23+H$8*M22+H$9*M21+H$10*M20+H$11*M19+H$12*M18+H$13*M17+H$14*M16+H$15*M15+H$16*M14+H$17*M13+H$18*M12+H$19*M11+H$20*M10+H$21*M9+H$22*M8+H$23*M7+H$24*M6+H$25*M5</f>
        <v>-0.1262321921272806</v>
      </c>
      <c r="R26" s="24">
        <f t="shared" si="4"/>
        <v>20</v>
      </c>
      <c r="S26" s="1">
        <v>40026</v>
      </c>
      <c r="T26" s="2">
        <v>9.6</v>
      </c>
      <c r="U26" s="27">
        <f t="shared" si="3"/>
        <v>9.7406045802913095</v>
      </c>
    </row>
    <row r="27" spans="1:21" x14ac:dyDescent="0.3">
      <c r="A27" s="18">
        <f t="shared" si="1"/>
        <v>22</v>
      </c>
      <c r="B27" s="18">
        <v>-1.1497362286477699</v>
      </c>
      <c r="C27" s="18">
        <v>0.90945344454723287</v>
      </c>
      <c r="D27" s="18">
        <f t="shared" si="2"/>
        <v>0.26781744381705264</v>
      </c>
      <c r="F27" s="12">
        <f t="shared" si="6"/>
        <v>23</v>
      </c>
      <c r="G27" s="12">
        <v>2.8621138864871699E-2</v>
      </c>
      <c r="H27" s="12">
        <v>4.05654399137911E-2</v>
      </c>
      <c r="L27" s="19">
        <f t="shared" si="5"/>
        <v>22</v>
      </c>
      <c r="M27" s="6">
        <f t="shared" si="0"/>
        <v>0.26781744381705264</v>
      </c>
      <c r="N27" s="6">
        <f>G$5*N26+G$6*N25+G$7*N24+G$8*N23+G$9*N22+G$10*N21+G$11*N20+G$12*N19+G$13*N18+G$14*N17+G$15*N16+G$16*N15+G$17*N14+G$18*N13+G$19*N12+G$20*N11+G$21*N10+G$22*N9+G$23*N8+G$24*N7+G$25*N6+G$26*N5+H$5*M26+H$6*M25+H$7*M24+H$8*M23+H$9*M22+H$10*M21+H$11*M20+H$12*M19+H$13*M18+H$14*M17+H$15*M16+H$16*M15+H$17*M14+H$18*M13+H$19*M12+H$20*M11+H$21*M10+H$22*M9+H$23*M8+H$24*M7+H$25*M6+H$26*M5</f>
        <v>-0.1463655956589846</v>
      </c>
      <c r="R27" s="24">
        <f t="shared" si="4"/>
        <v>21</v>
      </c>
      <c r="S27" s="1">
        <v>40057</v>
      </c>
      <c r="T27" s="2">
        <v>9.8000000000000007</v>
      </c>
      <c r="U27" s="27">
        <f t="shared" si="3"/>
        <v>9.9262321921272818</v>
      </c>
    </row>
    <row r="28" spans="1:21" x14ac:dyDescent="0.3">
      <c r="A28" s="18">
        <f t="shared" si="1"/>
        <v>23</v>
      </c>
      <c r="B28" s="18">
        <v>-1.3310847360959319</v>
      </c>
      <c r="C28" s="18">
        <v>0.98798891654757304</v>
      </c>
      <c r="D28" s="18">
        <f t="shared" si="2"/>
        <v>0.25988397944850217</v>
      </c>
      <c r="F28" s="12">
        <f t="shared" si="6"/>
        <v>24</v>
      </c>
      <c r="G28" s="12">
        <v>-5.5855041824478001E-2</v>
      </c>
      <c r="H28" s="12">
        <v>4.2776729900653503E-2</v>
      </c>
      <c r="L28" s="19">
        <f t="shared" si="5"/>
        <v>23</v>
      </c>
      <c r="M28" s="6">
        <f t="shared" si="0"/>
        <v>0.25988397944850217</v>
      </c>
      <c r="N28" s="6">
        <f>G$5*N27+G$6*N26+G$7*N25+G$8*N24+G$9*N23+G$10*N22+G$11*N21+G$12*N20+G$13*N19+G$14*N18+G$15*N17+G$16*N16+G$17*N15+G$18*N14+G$19*N13+G$20*N12+G$21*N11+G$22*N10+G$23*N9+G$24*N8+G$25*N7+G$26*N6+G$27*N5+H$5*M27+H$6*M26+H$7*M25+H$8*M24+H$9*M23+H$10*M22+H$11*M21+H$12*M20+H$13*M19+H$14*M18+H$15*M17+H$16*M16+H$17*M15+H$18*M14+H$19*M13+H$20*M12+H$21*M11+H$22*M10+H$23*M9+H$24*M8+H$25*M7+H$26*M6+H$27*M5</f>
        <v>-0.11361587914492291</v>
      </c>
      <c r="R28" s="24">
        <f t="shared" si="4"/>
        <v>22</v>
      </c>
      <c r="S28" s="1">
        <v>40087</v>
      </c>
      <c r="T28" s="2">
        <v>10</v>
      </c>
      <c r="U28" s="27">
        <f t="shared" si="3"/>
        <v>10.146365595658985</v>
      </c>
    </row>
    <row r="29" spans="1:21" x14ac:dyDescent="0.3">
      <c r="A29" s="18">
        <f t="shared" si="1"/>
        <v>24</v>
      </c>
      <c r="B29" s="18">
        <v>-1.7255592774870996</v>
      </c>
      <c r="C29" s="18">
        <v>1.0435991769371777</v>
      </c>
      <c r="D29" s="18">
        <f t="shared" si="2"/>
        <v>0.45008480178077237</v>
      </c>
      <c r="F29" s="12">
        <f t="shared" si="6"/>
        <v>25</v>
      </c>
      <c r="H29" s="12">
        <v>3.7082383633426003E-2</v>
      </c>
      <c r="L29" s="19">
        <f t="shared" si="5"/>
        <v>24</v>
      </c>
      <c r="M29" s="6">
        <f t="shared" si="0"/>
        <v>0.45008480178077237</v>
      </c>
      <c r="N29" s="6">
        <f>G$5*N28+G$6*N27+G$7*N26+G$8*N25+G$9*N24+G$10*N23+G$11*N22+G$12*N21+G$13*N20+G$14*N19+G$15*N18+G$16*N17+G$17*N16+G$18*N15+G$19*N14+G$20*N13+G$21*N12+G$22*N11+G$23*N10+G$24*N9+G$25*N8+G$26*N7+G$27*N6+G$28*N5+H$5*M28+H$6*M27+H$7*M26+H$8*M25+H$9*M24+H$10*M23+H$11*M22+H$12*M21+H$13*M20+H$14*M19+H$15*M18+H$16*M17+H$17*M16+H$18*M15+H$19*M14+H$20*M13+H$21*M12+H$22*M11+H$23*M10+H$24*M9+H$25*M8+H$26*M7+H$27*M6+H$28*M5</f>
        <v>-8.1797824105965547E-2</v>
      </c>
      <c r="R29" s="24">
        <f t="shared" si="4"/>
        <v>23</v>
      </c>
      <c r="S29" s="1">
        <v>40118</v>
      </c>
      <c r="T29" s="2">
        <v>9.9</v>
      </c>
      <c r="U29" s="27">
        <f t="shared" si="3"/>
        <v>10.013615879144924</v>
      </c>
    </row>
    <row r="30" spans="1:21" x14ac:dyDescent="0.3">
      <c r="A30" s="18">
        <f t="shared" si="1"/>
        <v>25</v>
      </c>
      <c r="B30" s="18">
        <v>-1.8250158212836534</v>
      </c>
      <c r="C30" s="18">
        <v>1.2341005272476608</v>
      </c>
      <c r="D30" s="18">
        <f t="shared" si="2"/>
        <v>0.28995789410703687</v>
      </c>
      <c r="F30" s="12">
        <f t="shared" si="6"/>
        <v>26</v>
      </c>
      <c r="H30" s="12">
        <v>-3.9905718272175698E-2</v>
      </c>
      <c r="L30" s="19">
        <f t="shared" si="5"/>
        <v>25</v>
      </c>
      <c r="M30" s="6">
        <f t="shared" si="0"/>
        <v>0.28995789410703687</v>
      </c>
      <c r="N30" s="6">
        <f>G$5*N29+G$6*N28+G$7*N27+G$8*N26+G$9*N25+G$10*N24+G$11*N23+G$12*N22+G$13*N21+G$14*N20+G$15*N19+G$16*N18+G$17*N17+G$18*N16+G$19*N15+G$20*N14+G$21*N13+G$22*N12+G$23*N11+G$24*N10+G$25*N9+G$26*N8+G$27*N7+G$28*N6+G$29*N5+H$5*M29+H$6*M28+H$7*M27+H$8*M26+H$9*M25+H$10*M24+H$11*M23+H$12*M22+H$13*M21+H$14*M20+H$15*M19+H$16*M18+H$17*M17+H$18*M16+H$19*M15+H$20*M14+H$21*M13+H$22*M12+H$23*M11+H$24*M10+H$25*M9+H$26*M8+H$27*M7+H$28*M6+H$29*M5</f>
        <v>1.7556874777859425E-3</v>
      </c>
      <c r="R30" s="24">
        <f t="shared" si="4"/>
        <v>24</v>
      </c>
      <c r="S30" s="1">
        <v>40148</v>
      </c>
      <c r="T30" s="2">
        <v>9.9</v>
      </c>
      <c r="U30" s="27">
        <f t="shared" si="3"/>
        <v>9.9817978241059659</v>
      </c>
    </row>
    <row r="31" spans="1:21" x14ac:dyDescent="0.3">
      <c r="A31" s="18">
        <f t="shared" si="1"/>
        <v>26</v>
      </c>
      <c r="B31" s="18">
        <v>-1.8881397543094716</v>
      </c>
      <c r="C31" s="18">
        <v>1.4674018259594086</v>
      </c>
      <c r="D31" s="18">
        <f t="shared" si="2"/>
        <v>0.29642523173756596</v>
      </c>
      <c r="F31" s="12">
        <f t="shared" si="6"/>
        <v>27</v>
      </c>
      <c r="H31" s="12">
        <v>4.9088911583572998E-3</v>
      </c>
      <c r="L31" s="19">
        <f t="shared" si="5"/>
        <v>26</v>
      </c>
      <c r="M31" s="6">
        <f t="shared" si="0"/>
        <v>0.29642523173756596</v>
      </c>
      <c r="N31" s="6">
        <f>G$5*N30+G$6*N29+G$7*N28+G$8*N27+G$9*N26+G$10*N25+G$11*N24+G$12*N23+G$13*N22+G$14*N21+G$15*N20+G$16*N19+G$17*N18+G$18*N17+G$19*N16+G$20*N15+G$21*N14+G$22*N13+G$23*N12+G$24*N11+G$25*N10+G$26*N9+G$27*N8+G$28*N7+G$29*N6+G$30*N5+H$5*M30+H$6*M29+H$7*M28+H$8*M27+H$9*M26+H$10*M25+H$11*M24+H$12*M23+H$13*M22+H$14*M21+H$15*M20+H$16*M19+H$17*M18+H$18*M17+H$19*M16+H$20*M15+H$21*M14+H$22*M13+H$23*M12+H$24*M11+H$25*M10+H$26*M9+H$27*M8+H$28*M7+H$29*M6+H$30*M5</f>
        <v>2.3899391522112689E-2</v>
      </c>
      <c r="R31" s="24">
        <f t="shared" si="4"/>
        <v>25</v>
      </c>
      <c r="S31" s="1">
        <v>40179</v>
      </c>
      <c r="T31" s="2">
        <v>9.8000000000000007</v>
      </c>
      <c r="U31" s="27">
        <f t="shared" si="3"/>
        <v>9.7982443125222147</v>
      </c>
    </row>
    <row r="32" spans="1:21" x14ac:dyDescent="0.3">
      <c r="A32" s="18">
        <f t="shared" si="1"/>
        <v>27</v>
      </c>
      <c r="B32" s="18">
        <v>-1.8964142361730001</v>
      </c>
      <c r="C32" s="18">
        <v>1.5886635288473063</v>
      </c>
      <c r="D32" s="18">
        <f t="shared" si="2"/>
        <v>0.12953618475142625</v>
      </c>
      <c r="F32" s="12">
        <f t="shared" si="6"/>
        <v>28</v>
      </c>
      <c r="H32" s="12">
        <v>1.3975411502221599E-2</v>
      </c>
      <c r="L32" s="19">
        <f t="shared" si="5"/>
        <v>27</v>
      </c>
      <c r="M32" s="6">
        <f t="shared" si="0"/>
        <v>0.12953618475142625</v>
      </c>
      <c r="N32" s="6">
        <f>G$5*N31+G$6*N30+G$7*N29+G$8*N28+G$9*N27+G$10*N26+G$11*N25+G$12*N24+G$13*N23+G$14*N22+G$15*N21+G$16*N20+G$17*N19+G$18*N18+G$19*N17+G$20*N16+G$21*N15+G$22*N14+G$23*N13+G$24*N12+G$25*N11+G$26*N10+G$27*N9+G$28*N8+G$29*N7+G$30*N6+G$31*N5+H$5*M31+H$6*M30+H$7*M29+H$8*M28+H$9*M27+H$10*M26+H$11*M25+H$12*M24+H$13*M23+H$14*M22+H$15*M21+H$16*M20+H$17*M19+H$18*M18+H$19*M17+H$20*M16+H$21*M15+H$22*M14+H$23*M13+H$24*M12+H$25*M11+H$26*M10+H$27*M9+H$28*M8+H$29*M7+H$30*M6+H$31*M5</f>
        <v>-1.6737503423388655E-4</v>
      </c>
      <c r="R32" s="24">
        <f t="shared" si="4"/>
        <v>26</v>
      </c>
      <c r="S32" s="1">
        <v>40210</v>
      </c>
      <c r="T32" s="2">
        <v>9.8000000000000007</v>
      </c>
      <c r="U32" s="27">
        <f t="shared" si="3"/>
        <v>9.7761006084778881</v>
      </c>
    </row>
    <row r="33" spans="1:21" x14ac:dyDescent="0.3">
      <c r="A33" s="18">
        <f t="shared" si="1"/>
        <v>28</v>
      </c>
      <c r="B33" s="18">
        <v>-2.0878114605761344</v>
      </c>
      <c r="C33" s="18">
        <v>1.5777255549069902</v>
      </c>
      <c r="D33" s="18">
        <f t="shared" si="2"/>
        <v>0.18045925046281819</v>
      </c>
      <c r="F33" s="12">
        <f t="shared" si="6"/>
        <v>29</v>
      </c>
      <c r="H33" s="12">
        <v>-3.24018436557564E-2</v>
      </c>
      <c r="L33" s="19">
        <f t="shared" si="5"/>
        <v>28</v>
      </c>
      <c r="M33" s="6">
        <f t="shared" si="0"/>
        <v>0.18045925046281819</v>
      </c>
      <c r="N33" s="6">
        <f>G$5*N32+G$6*N31+G$7*N30+G$8*N29+G$9*N28+G$10*N27+G$11*N26+G$12*N25+G$13*N24+G$14*N23+G$15*N22+G$16*N21+G$17*N20+G$18*N19+G$19*N18+G$20*N17+G$21*N16+G$22*N15+G$23*N14+G$24*N13+G$25*N12+G$26*N11+G$27*N10+G$28*N9+G$29*N8+G$30*N7+G$31*N6+G$32*N5+H$5*M32+H$6*M31+H$7*M30+H$8*M29+H$9*M28+H$10*M27+H$11*M26+H$12*M25+H$13*M24+H$14*M23+H$15*M22+H$16*M21+H$17*M20+H$18*M19+H$19*M18+H$20*M17+H$21*M16+H$22*M15+H$23*M14+H$24*M13+H$25*M12+H$26*M11+H$27*M10+H$28*M9+H$29*M8+H$30*M7+H$31*M6+H$32*M5</f>
        <v>6.2453467187986896E-3</v>
      </c>
      <c r="R33" s="24">
        <f t="shared" si="4"/>
        <v>27</v>
      </c>
      <c r="S33" s="1">
        <v>40238</v>
      </c>
      <c r="T33" s="2">
        <v>9.9</v>
      </c>
      <c r="U33" s="27">
        <f t="shared" si="3"/>
        <v>9.9001673750342345</v>
      </c>
    </row>
    <row r="34" spans="1:21" x14ac:dyDescent="0.3">
      <c r="A34" s="18">
        <f t="shared" si="1"/>
        <v>29</v>
      </c>
      <c r="B34" s="18">
        <v>-2.0303631371743482</v>
      </c>
      <c r="C34" s="18">
        <v>1.5229313623716259</v>
      </c>
      <c r="D34" s="18">
        <f t="shared" si="2"/>
        <v>-0.11224251593715051</v>
      </c>
      <c r="F34" s="12">
        <f t="shared" si="6"/>
        <v>30</v>
      </c>
      <c r="H34" s="12">
        <v>-6.9400938591176006E-2</v>
      </c>
      <c r="L34" s="19">
        <f t="shared" si="5"/>
        <v>29</v>
      </c>
      <c r="M34" s="6">
        <f t="shared" si="0"/>
        <v>-0.11224251593715051</v>
      </c>
      <c r="N34" s="6">
        <f>G$5*N33+G$6*N32+G$7*N31+G$8*N30+G$9*N29+G$10*N28+G$11*N27+G$12*N26+G$13*N25+G$14*N24+G$15*N23+G$16*N22+G$17*N21+G$18*N20+G$19*N19+G$20*N18+G$21*N17+G$22*N16+G$23*N15+G$24*N14+G$25*N13+G$26*N12+G$27*N11+G$28*N10+G$29*N9+G$30*N8+G$31*N7+G$32*N6+G$33*N5+H$5*M33+H$6*M32+H$7*M31+H$8*M30+H$9*M29+H$10*M28+H$11*M27+H$12*M26+H$13*M25+H$14*M24+H$15*M23+H$16*M22+H$17*M21+H$18*M20+H$19*M19+H$20*M18+H$21*M17+H$22*M16+H$23*M15+H$24*M14+H$25*M13+H$26*M12+H$27*M11+H$28*M10+H$29*M9+H$30*M8+H$31*M7+H$32*M6+H$33*M5</f>
        <v>1.3609334715730812E-2</v>
      </c>
      <c r="R34" s="24">
        <f t="shared" si="4"/>
        <v>28</v>
      </c>
      <c r="S34" s="1">
        <v>40269</v>
      </c>
      <c r="T34" s="2">
        <v>9.9</v>
      </c>
      <c r="U34" s="27">
        <f t="shared" si="3"/>
        <v>9.8937546532812011</v>
      </c>
    </row>
    <row r="35" spans="1:21" x14ac:dyDescent="0.3">
      <c r="A35" s="18">
        <f t="shared" si="1"/>
        <v>30</v>
      </c>
      <c r="B35" s="18">
        <v>-2.0795543484615879</v>
      </c>
      <c r="C35" s="18">
        <v>1.6157099667813193</v>
      </c>
      <c r="D35" s="18">
        <f t="shared" si="2"/>
        <v>0.14196981569693312</v>
      </c>
      <c r="F35" s="12">
        <f t="shared" si="6"/>
        <v>31</v>
      </c>
      <c r="H35" s="12">
        <v>1.26693791869104E-2</v>
      </c>
      <c r="L35" s="19">
        <f t="shared" si="5"/>
        <v>30</v>
      </c>
      <c r="M35" s="6">
        <f t="shared" si="0"/>
        <v>0.14196981569693312</v>
      </c>
      <c r="N35" s="6">
        <f>G$5*N34+G$6*N33+G$7*N32+G$8*N31+G$9*N30+G$10*N29+G$11*N28+G$12*N27+G$13*N26+G$14*N25+G$15*N24+G$16*N23+G$17*N22+G$18*N21+G$19*N20+G$20*N19+G$21*N18+G$22*N17+G$23*N16+G$24*N15+G$25*N14+G$26*N13+G$27*N12+G$28*N11+G$29*N10+G$30*N9+G$31*N8+G$32*N7+G$33*N6+G$34*N5+H$5*M34+H$6*M33+H$7*M32+H$8*M31+H$9*M30+H$10*M29+H$11*M28+H$12*M27+H$13*M26+H$14*M25+H$15*M24+H$16*M23+H$17*M22+H$18*M21+H$19*M20+H$20*M19+H$21*M18+H$22*M17+H$23*M16+H$24*M15+H$25*M14+H$26*M13+H$27*M12+H$28*M11+H$29*M10+H$30*M9+H$31*M8+H$32*M7+H$33*M6+H$34*M5</f>
        <v>6.361494058586438E-2</v>
      </c>
      <c r="R35" s="24">
        <f t="shared" si="4"/>
        <v>29</v>
      </c>
      <c r="S35" s="1">
        <v>40299</v>
      </c>
      <c r="T35" s="2">
        <v>9.6</v>
      </c>
      <c r="U35" s="27">
        <f t="shared" si="3"/>
        <v>9.5863906652842683</v>
      </c>
    </row>
    <row r="36" spans="1:21" x14ac:dyDescent="0.3">
      <c r="A36" s="18">
        <f t="shared" si="1"/>
        <v>31</v>
      </c>
      <c r="B36" s="18">
        <v>-2.0896280806903724</v>
      </c>
      <c r="C36" s="18">
        <v>1.670268899607628</v>
      </c>
      <c r="D36" s="18">
        <f t="shared" si="2"/>
        <v>6.4632665055093241E-2</v>
      </c>
      <c r="F36" s="12">
        <f t="shared" si="6"/>
        <v>32</v>
      </c>
      <c r="H36" s="12">
        <v>-1.69747111313319E-2</v>
      </c>
      <c r="L36" s="19">
        <f t="shared" si="5"/>
        <v>31</v>
      </c>
      <c r="M36" s="6">
        <f t="shared" si="0"/>
        <v>6.4632665055093241E-2</v>
      </c>
      <c r="N36" s="6">
        <f>G$5*N35+G$6*N34+G$7*N33+G$8*N32+G$9*N31+G$10*N30+G$11*N29+G$12*N28+G$13*N27+G$14*N26+G$15*N25+G$16*N24+G$17*N23+G$18*N22+G$19*N21+G$20*N20+G$21*N19+G$22*N18+G$23*N17+G$24*N16+G$25*N15+G$26*N14+G$27*N13+G$28*N12+G$29*N11+G$30*N10+G$31*N9+G$32*N8+G$33*N7+G$34*N6+G$35*N5+H$5*M35+H$6*M34+H$7*M33+H$8*M32+H$9*M31+H$10*M30+H$11*M29+H$12*M28+H$13*M27+H$14*M26+H$15*M25+H$16*M24+H$17*M23+H$18*M22+H$19*M21+H$20*M20+H$21*M19+H$22*M18+H$23*M17+H$24*M16+H$25*M15+H$26*M14+H$27*M13+H$28*M12+H$29*M11+H$30*M10+H$31*M9+H$32*M8+H$33*M7+H$34*M6+H$35*M5</f>
        <v>0.23166657265645971</v>
      </c>
      <c r="R36" s="24">
        <f t="shared" si="4"/>
        <v>30</v>
      </c>
      <c r="S36" s="1">
        <v>40330</v>
      </c>
      <c r="T36" s="2">
        <v>9.4</v>
      </c>
      <c r="U36" s="27">
        <f t="shared" si="3"/>
        <v>9.3363850594141358</v>
      </c>
    </row>
    <row r="37" spans="1:21" x14ac:dyDescent="0.3">
      <c r="A37" s="18">
        <f t="shared" si="1"/>
        <v>32</v>
      </c>
      <c r="B37" s="18">
        <v>-2.1658579291609228</v>
      </c>
      <c r="C37" s="18">
        <v>1.8746222777396477</v>
      </c>
      <c r="D37" s="18">
        <f t="shared" si="2"/>
        <v>0.28058322660257007</v>
      </c>
      <c r="F37" s="12">
        <f t="shared" si="6"/>
        <v>33</v>
      </c>
      <c r="H37" s="12">
        <v>-2.93349814397918E-2</v>
      </c>
      <c r="L37" s="19">
        <f t="shared" si="5"/>
        <v>32</v>
      </c>
      <c r="M37" s="6">
        <f t="shared" si="0"/>
        <v>0.28058322660257007</v>
      </c>
      <c r="N37" s="6">
        <f>G$5*N36+G$6*N35+G$7*N34+G$8*N33+G$9*N32+G$10*N31+G$11*N30+G$12*N29+G$13*N28+G$14*N27+G$15*N26+G$16*N25+G$17*N24+G$18*N23+G$19*N22+G$20*N21+G$21*N20+G$22*N19+G$23*N18+G$24*N17+G$25*N16+G$26*N15+G$27*N14+G$28*N13+G$29*N12+G$30*N11+G$31*N10+G$32*N9+G$33*N8+G$34*N7+G$35*N6+G$36*N5+H$5*M36+H$6*M35+H$7*M34+H$8*M33+H$9*M32+H$10*M31+H$11*M30+H$12*M29+H$13*M28+H$14*M27+H$15*M26+H$16*M25+H$17*M24+H$18*M23+H$19*M22+H$20*M21+H$21*M20+H$22*M19+H$23*M18+H$24*M17+H$25*M16+H$26*M15+H$27*M14+H$28*M13+H$29*M12+H$30*M11+H$31*M10+H$32*M9+H$33*M8+H$34*M7+H$35*M6+H$36*M5</f>
        <v>0.25476439450902372</v>
      </c>
      <c r="R37" s="24">
        <f t="shared" si="4"/>
        <v>31</v>
      </c>
      <c r="S37" s="1">
        <v>40360</v>
      </c>
      <c r="T37" s="2">
        <v>9.5</v>
      </c>
      <c r="U37" s="27">
        <f t="shared" si="3"/>
        <v>9.2683334273435403</v>
      </c>
    </row>
    <row r="38" spans="1:21" x14ac:dyDescent="0.3">
      <c r="A38" s="18">
        <f t="shared" si="1"/>
        <v>33</v>
      </c>
      <c r="B38" s="18">
        <v>-2.1833271011040618</v>
      </c>
      <c r="C38" s="18">
        <v>2.16129893638159</v>
      </c>
      <c r="D38" s="18">
        <f t="shared" si="2"/>
        <v>0.30414583058508127</v>
      </c>
      <c r="F38" s="12">
        <f t="shared" si="6"/>
        <v>34</v>
      </c>
      <c r="H38" s="12">
        <v>-2.67578960021152E-2</v>
      </c>
      <c r="L38" s="19">
        <f t="shared" si="5"/>
        <v>33</v>
      </c>
      <c r="M38" s="6">
        <f t="shared" si="0"/>
        <v>0.30414583058508127</v>
      </c>
      <c r="N38" s="6">
        <f>G$5*N37+G$6*N36+G$7*N35+G$8*N34+G$9*N33+G$10*N32+G$11*N31+G$12*N30+G$13*N29+G$14*N28+G$15*N27+G$16*N26+G$17*N25+G$18*N24+G$19*N23+G$20*N22+G$21*N21+G$22*N20+G$23*N19+G$24*N18+G$25*N17+G$26*N16+G$27*N15+G$28*N14+G$29*N13+G$30*N12+G$31*N11+G$32*N10+G$33*N9+G$34*N8+G$35*N7+G$36*N6+G$37*N5+H$5*M37+H$6*M36+H$7*M35+H$8*M34+H$9*M33+H$10*M32+H$11*M31+H$12*M30+H$13*M29+H$14*M28+H$15*M27+H$16*M26+H$17*M25+H$18*M24+H$19*M23+H$20*M22+H$21*M21+H$22*M20+H$23*M19+H$24*M18+H$25*M17+H$26*M16+H$27*M15+H$28*M14+H$29*M13+H$30*M12+H$31*M11+H$32*M10+H$33*M9+H$34*M8+H$35*M7+H$36*M6+H$37*M5</f>
        <v>0.33006283765700728</v>
      </c>
      <c r="R38" s="24">
        <f t="shared" si="4"/>
        <v>32</v>
      </c>
      <c r="S38" s="1">
        <v>40391</v>
      </c>
      <c r="T38" s="2">
        <v>9.5</v>
      </c>
      <c r="U38" s="27">
        <f t="shared" si="3"/>
        <v>9.2452356054909757</v>
      </c>
    </row>
    <row r="39" spans="1:21" x14ac:dyDescent="0.3">
      <c r="A39" s="18">
        <f t="shared" si="1"/>
        <v>34</v>
      </c>
      <c r="B39" s="18">
        <v>-2.1492522431830037</v>
      </c>
      <c r="C39" s="18">
        <v>2.3050143523435573</v>
      </c>
      <c r="D39" s="18">
        <f t="shared" si="2"/>
        <v>0.10964055804090922</v>
      </c>
      <c r="F39" s="12">
        <f t="shared" si="6"/>
        <v>35</v>
      </c>
      <c r="H39" s="12">
        <v>-4.2647305908455301E-2</v>
      </c>
      <c r="L39" s="19">
        <f t="shared" si="5"/>
        <v>34</v>
      </c>
      <c r="M39" s="6">
        <f t="shared" si="0"/>
        <v>0.10964055804090922</v>
      </c>
      <c r="N39" s="6">
        <f>G$5*N38+G$6*N37+G$7*N36+G$8*N35+G$9*N34+G$10*N33+G$11*N32+G$12*N31+G$13*N30+G$14*N29+G$15*N28+G$16*N27+G$17*N26+G$18*N25+G$19*N24+G$20*N23+G$21*N22+G$22*N21+G$23*N20+G$24*N19+G$25*N18+G$26*N17+G$27*N16+G$28*N15+G$29*N14+G$30*N13+G$31*N12+G$32*N11+G$33*N10+G$34*N9+G$35*N8+G$36*N7+G$37*N6+G$38*N5+H$5*M38+H$6*M37+H$7*M36+H$8*M35+H$9*M34+H$10*M33+H$11*M32+H$12*M31+H$13*M30+H$14*M29+H$15*M28+H$16*M27+H$17*M26+H$18*M25+H$19*M24+H$20*M23+H$21*M22+H$22*M21+H$23*M20+H$24*M19+H$25*M18+H$26*M17+H$27*M16+H$28*M15+H$29*M14+H$30*M13+H$31*M12+H$32*M11+H$33*M10+H$34*M9+H$35*M8+H$36*M7+H$37*M6+H$38*M5</f>
        <v>0.35577934140687917</v>
      </c>
      <c r="R39" s="24">
        <f t="shared" si="4"/>
        <v>33</v>
      </c>
      <c r="S39" s="1">
        <v>40422</v>
      </c>
      <c r="T39" s="2">
        <v>9.5</v>
      </c>
      <c r="U39" s="27">
        <f t="shared" si="3"/>
        <v>9.1699371623429933</v>
      </c>
    </row>
    <row r="40" spans="1:21" x14ac:dyDescent="0.3">
      <c r="A40" s="18">
        <f t="shared" si="1"/>
        <v>35</v>
      </c>
      <c r="B40" s="18">
        <v>-2.1718188263504441</v>
      </c>
      <c r="C40" s="18">
        <v>2.423861049977964</v>
      </c>
      <c r="D40" s="18">
        <f t="shared" si="2"/>
        <v>0.14141328080184712</v>
      </c>
      <c r="F40" s="12">
        <f t="shared" si="6"/>
        <v>36</v>
      </c>
      <c r="H40" s="12">
        <v>-3.6838996515427803E-2</v>
      </c>
      <c r="L40" s="19">
        <f t="shared" si="5"/>
        <v>35</v>
      </c>
      <c r="M40" s="6">
        <f t="shared" si="0"/>
        <v>0.14141328080184712</v>
      </c>
      <c r="N40" s="6">
        <f>G$5*N39+G$6*N38+G$7*N37+G$8*N36+G$9*N35+G$10*N34+G$11*N33+G$12*N32+G$13*N31+G$14*N30+G$15*N29+G$16*N28+G$17*N27+G$18*N26+G$19*N25+G$20*N24+G$21*N23+G$22*N22+G$23*N21+G$24*N20+G$25*N19+G$26*N18+G$27*N17+G$28*N16+G$29*N15+G$30*N14+G$31*N13+G$32*N12+G$33*N11+G$34*N10+G$35*N9+G$36*N8+G$37*N7+G$38*N6+G$39*N5+H$5*M39+H$6*M38+H$7*M37+H$8*M36+H$9*M35+H$10*M34+H$11*M33+H$12*M32+H$13*M31+H$14*M30+H$15*M29+H$16*M28+H$17*M27+H$18*M26+H$19*M25+H$20*M24+H$21*M23+H$22*M22+H$23*M21+H$24*M20+H$25*M19+H$26*M18+H$27*M17+H$28*M16+H$29*M15+H$30*M14+H$31*M13+H$32*M12+H$33*M11+H$34*M10+H$35*M9+H$36*M8+H$37*M7+H$38*M6+H$39*M5</f>
        <v>0.42432336541738125</v>
      </c>
      <c r="R40" s="24">
        <f t="shared" si="4"/>
        <v>34</v>
      </c>
      <c r="S40" s="1">
        <v>40452</v>
      </c>
      <c r="T40" s="2">
        <v>9.5</v>
      </c>
      <c r="U40" s="27">
        <f t="shared" si="3"/>
        <v>9.1442206585931203</v>
      </c>
    </row>
    <row r="41" spans="1:21" x14ac:dyDescent="0.3">
      <c r="A41" s="18">
        <f t="shared" si="1"/>
        <v>36</v>
      </c>
      <c r="B41" s="18">
        <v>-2.0734588878906162</v>
      </c>
      <c r="C41" s="18">
        <v>2.3407511410554518</v>
      </c>
      <c r="D41" s="18">
        <f t="shared" si="2"/>
        <v>-0.18146984738234018</v>
      </c>
      <c r="L41" s="19">
        <f t="shared" si="5"/>
        <v>36</v>
      </c>
      <c r="M41" s="6">
        <f t="shared" si="0"/>
        <v>-0.18146984738234018</v>
      </c>
      <c r="N41" s="6">
        <f>G$5*N40+G$6*N39+G$7*N38+G$8*N37+G$9*N36+G$10*N35+G$11*N34+G$12*N33+G$13*N32+G$14*N31+G$15*N30+G$16*N29+G$17*N28+G$18*N27+G$19*N26+G$20*N25+G$21*N24+G$22*N23+G$23*N22+G$24*N21+G$25*N20+G$26*N19+G$27*N18+G$28*N17+G$29*N16+G$30*N15+G$31*N14+G$32*N13+G$33*N12+G$34*N11+G$35*N10+G$36*N9+G$37*N8+G$38*N7+G$39*N6+G$40*N5+H$5*M40+H$6*M39+H$7*M38+H$8*M37+H$9*M36+H$10*M35+H$11*M34+H$12*M33+H$13*M32+H$14*M31+H$15*M30+H$16*M29+H$17*M28+H$18*M27+H$19*M26+H$20*M25+H$21*M24+H$22*M23+H$23*M22+H$24*M21+H$25*M20+H$26*M19+H$27*M18+H$28*M17+H$29*M16+H$30*M15+H$31*M14+H$32*M13+H$33*M12+H$34*M11+H$35*M10+H$36*M9+H$37*M8+H$38*M7+H$39*M6+H$40*M5</f>
        <v>0.58607460639838482</v>
      </c>
      <c r="R41" s="24">
        <f t="shared" si="4"/>
        <v>35</v>
      </c>
      <c r="S41" s="1">
        <v>40483</v>
      </c>
      <c r="T41" s="2">
        <v>9.8000000000000007</v>
      </c>
      <c r="U41" s="27">
        <f t="shared" si="3"/>
        <v>9.3756766345826197</v>
      </c>
    </row>
    <row r="42" spans="1:21" x14ac:dyDescent="0.3">
      <c r="A42" s="18">
        <f t="shared" si="1"/>
        <v>37</v>
      </c>
      <c r="B42" s="18">
        <v>-2.0465414423179733</v>
      </c>
      <c r="C42" s="18"/>
      <c r="D42" s="18"/>
      <c r="L42" s="19">
        <f t="shared" si="5"/>
        <v>37</v>
      </c>
      <c r="M42" s="6">
        <f t="shared" si="0"/>
        <v>0</v>
      </c>
      <c r="N42" s="6">
        <f>G$5*N41+G$6*N40+G$7*N39+G$8*N38+G$9*N37+G$10*N36+G$11*N35+G$12*N34+G$13*N33+G$14*N32+G$15*N31+G$16*N30+G$17*N29+G$18*N28+G$19*N27+G$20*N26+G$21*N25+G$22*N24+G$23*N23+G$24*N22+G$25*N21+G$26*N20+G$27*N19+G$28*N18+G$29*N17+G$30*N16+G$31*N15+G$32*N14+G$33*N13+G$34*N12+G$35*N11+G$36*N10+G$37*N9+G$38*N8+G$39*N7+G$40*N6+H$5*M41+H$6*M40+H$7*M39+H$8*M38+H$9*M37+H$10*M36+H$11*M35+H$12*M34+H$13*M33+H$14*M32+H$15*M31+H$16*M30+H$17*M29+H$18*M28+H$19*M27+H$20*M26+H$21*M25+H$22*M24+H$23*M23+H$24*M22+H$25*M21+H$26*M20+H$27*M19+H$28*M18+H$29*M17+H$30*M16+H$31*M15+H$32*M14+H$33*M13+H$34*M12+H$35*M11+H$36*M10+H$37*M9+H$38*M8+H$39*M7+H$40*M6</f>
        <v>0.75941162530241568</v>
      </c>
      <c r="R42" s="24">
        <f t="shared" si="4"/>
        <v>36</v>
      </c>
      <c r="S42" s="1">
        <v>40513</v>
      </c>
      <c r="T42" s="2">
        <v>9.3000000000000007</v>
      </c>
      <c r="U42" s="27">
        <f t="shared" si="3"/>
        <v>8.7139253936016168</v>
      </c>
    </row>
    <row r="43" spans="1:21" x14ac:dyDescent="0.3">
      <c r="A43" s="18">
        <f t="shared" si="1"/>
        <v>38</v>
      </c>
      <c r="B43" s="18">
        <v>-2.0233271183811961</v>
      </c>
      <c r="C43" s="18"/>
      <c r="D43" s="18"/>
      <c r="L43" s="19">
        <f t="shared" si="5"/>
        <v>38</v>
      </c>
      <c r="M43" s="6">
        <f t="shared" si="0"/>
        <v>0</v>
      </c>
      <c r="N43" s="6">
        <f t="shared" ref="N43:N70" si="7">G$5*N42+G$6*N41+G$7*N40+G$8*N39+G$9*N38+G$10*N37+G$11*N36+G$12*N35+G$13*N34+G$14*N33+G$15*N32+G$16*N31+G$17*N30+G$18*N29+G$19*N28+G$20*N27+G$21*N26+G$22*N25+G$23*N24+G$24*N23+G$25*N22+G$26*N21+G$27*N20+G$28*N19+G$29*N18+G$30*N17+G$31*N16+G$32*N15+G$33*N14+G$34*N13+G$35*N12+G$36*N11+G$37*N10+G$38*N9+G$39*N8+G$40*N7+H$5*M42+H$6*M41+H$7*M40+H$8*M39+H$9*M38+H$10*M37+H$11*M36+H$12*M35+H$13*M34+H$14*M33+H$15*M32+H$16*M31+H$17*M30+H$18*M29+H$19*M28+H$20*M27+H$21*M26+H$22*M25+H$23*M24+H$24*M23+H$25*M22+H$26*M21+H$27*M20+H$28*M19+H$29*M18+H$30*M17+H$31*M16+H$32*M15+H$33*M14+H$34*M13+H$35*M12+H$36*M11+H$37*M10+H$38*M9+H$39*M8+H$40*M7</f>
        <v>0.87856870197793724</v>
      </c>
      <c r="R43" s="24">
        <f t="shared" si="4"/>
        <v>37</v>
      </c>
      <c r="S43" s="1">
        <v>40544</v>
      </c>
      <c r="T43" s="2">
        <v>9.1</v>
      </c>
      <c r="U43" s="27">
        <f t="shared" si="3"/>
        <v>8.3405883746975835</v>
      </c>
    </row>
    <row r="44" spans="1:21" x14ac:dyDescent="0.3">
      <c r="A44" s="18">
        <f t="shared" si="1"/>
        <v>39</v>
      </c>
      <c r="B44" s="18">
        <v>-2.066267013809675</v>
      </c>
      <c r="C44" s="18"/>
      <c r="D44" s="18"/>
      <c r="L44" s="19">
        <f t="shared" si="5"/>
        <v>39</v>
      </c>
      <c r="M44" s="6">
        <f t="shared" si="0"/>
        <v>0</v>
      </c>
      <c r="N44" s="6">
        <f t="shared" si="7"/>
        <v>0.98449479544693774</v>
      </c>
      <c r="R44" s="24">
        <f t="shared" si="4"/>
        <v>38</v>
      </c>
      <c r="S44" s="1">
        <v>40575</v>
      </c>
      <c r="T44" s="2">
        <v>9</v>
      </c>
      <c r="U44" s="27">
        <f t="shared" si="3"/>
        <v>8.1214312980220633</v>
      </c>
    </row>
    <row r="45" spans="1:21" x14ac:dyDescent="0.3">
      <c r="A45" s="18">
        <f t="shared" si="1"/>
        <v>40</v>
      </c>
      <c r="B45" s="18">
        <v>-2.3679768156113794</v>
      </c>
      <c r="C45" s="18"/>
      <c r="D45" s="18"/>
      <c r="L45" s="19">
        <f t="shared" si="5"/>
        <v>40</v>
      </c>
      <c r="M45" s="6">
        <f t="shared" si="0"/>
        <v>0</v>
      </c>
      <c r="N45" s="6">
        <f t="shared" si="7"/>
        <v>1.0733402853612011</v>
      </c>
      <c r="R45" s="24">
        <f t="shared" si="4"/>
        <v>39</v>
      </c>
      <c r="S45" s="1">
        <v>40603</v>
      </c>
      <c r="T45" s="2">
        <v>8.9</v>
      </c>
      <c r="U45" s="27">
        <f t="shared" si="3"/>
        <v>7.9155052045530629</v>
      </c>
    </row>
    <row r="46" spans="1:21" x14ac:dyDescent="0.3">
      <c r="A46" s="18">
        <f t="shared" si="1"/>
        <v>41</v>
      </c>
      <c r="B46" s="18">
        <v>-2.3597875573960292</v>
      </c>
      <c r="C46" s="18"/>
      <c r="D46" s="18"/>
      <c r="L46" s="19">
        <f t="shared" si="5"/>
        <v>41</v>
      </c>
      <c r="M46" s="6">
        <f t="shared" si="0"/>
        <v>0</v>
      </c>
      <c r="N46" s="6">
        <f t="shared" si="7"/>
        <v>1.1778782627569002</v>
      </c>
      <c r="R46" s="24">
        <f t="shared" si="4"/>
        <v>40</v>
      </c>
      <c r="S46" s="1">
        <v>40634</v>
      </c>
      <c r="T46" s="2">
        <v>9</v>
      </c>
      <c r="U46" s="27">
        <f t="shared" si="3"/>
        <v>7.9266597146387987</v>
      </c>
    </row>
    <row r="47" spans="1:21" x14ac:dyDescent="0.3">
      <c r="A47" s="18">
        <f t="shared" si="1"/>
        <v>42</v>
      </c>
      <c r="B47" s="18">
        <v>-2.2717829134579115</v>
      </c>
      <c r="C47" s="18"/>
      <c r="D47" s="18"/>
      <c r="L47" s="19">
        <f t="shared" si="5"/>
        <v>42</v>
      </c>
      <c r="M47" s="6">
        <f t="shared" si="0"/>
        <v>0</v>
      </c>
      <c r="N47" s="6">
        <f t="shared" si="7"/>
        <v>1.3721207597228593</v>
      </c>
      <c r="R47" s="24">
        <f t="shared" si="4"/>
        <v>41</v>
      </c>
      <c r="S47" s="1">
        <v>40664</v>
      </c>
      <c r="T47" s="2">
        <v>9</v>
      </c>
      <c r="U47" s="27">
        <f t="shared" si="3"/>
        <v>7.8221217372430996</v>
      </c>
    </row>
    <row r="48" spans="1:21" x14ac:dyDescent="0.3">
      <c r="A48" s="18">
        <f t="shared" si="1"/>
        <v>43</v>
      </c>
      <c r="B48" s="18">
        <v>-2.3488303039976874</v>
      </c>
      <c r="C48" s="18"/>
      <c r="D48" s="18"/>
      <c r="L48" s="19">
        <f t="shared" si="5"/>
        <v>43</v>
      </c>
      <c r="M48" s="6">
        <f t="shared" si="0"/>
        <v>0</v>
      </c>
      <c r="N48" s="6">
        <f t="shared" si="7"/>
        <v>1.4049930428147839</v>
      </c>
      <c r="R48" s="24">
        <f t="shared" si="4"/>
        <v>42</v>
      </c>
      <c r="S48" s="1">
        <v>40695</v>
      </c>
      <c r="T48" s="2">
        <v>9.1</v>
      </c>
      <c r="U48" s="27">
        <f t="shared" si="3"/>
        <v>7.7278792402771401</v>
      </c>
    </row>
    <row r="49" spans="1:21" x14ac:dyDescent="0.3">
      <c r="A49" s="18">
        <f t="shared" si="1"/>
        <v>44</v>
      </c>
      <c r="B49" s="18">
        <v>-2.2895354390069498</v>
      </c>
      <c r="C49" s="18"/>
      <c r="D49" s="18"/>
      <c r="L49" s="19">
        <f t="shared" si="5"/>
        <v>44</v>
      </c>
      <c r="M49" s="6">
        <f t="shared" si="0"/>
        <v>0</v>
      </c>
      <c r="N49" s="6">
        <f t="shared" si="7"/>
        <v>1.5060858492671008</v>
      </c>
      <c r="R49" s="24">
        <f t="shared" si="4"/>
        <v>43</v>
      </c>
      <c r="S49" s="1">
        <v>40725</v>
      </c>
      <c r="T49" s="2">
        <v>9</v>
      </c>
      <c r="U49" s="27">
        <f t="shared" si="3"/>
        <v>7.5950069571852161</v>
      </c>
    </row>
    <row r="50" spans="1:21" x14ac:dyDescent="0.3">
      <c r="A50" s="18">
        <f t="shared" si="1"/>
        <v>45</v>
      </c>
      <c r="B50" s="18">
        <v>-2.4916540278461796</v>
      </c>
      <c r="C50" s="18"/>
      <c r="D50" s="18"/>
      <c r="L50" s="19">
        <f t="shared" si="5"/>
        <v>45</v>
      </c>
      <c r="M50" s="6">
        <f t="shared" si="0"/>
        <v>0</v>
      </c>
      <c r="N50" s="6">
        <f t="shared" si="7"/>
        <v>1.5614542367875761</v>
      </c>
      <c r="R50" s="24">
        <f t="shared" si="4"/>
        <v>44</v>
      </c>
      <c r="S50" s="1">
        <v>40756</v>
      </c>
      <c r="T50" s="2">
        <v>9</v>
      </c>
      <c r="U50" s="27">
        <f t="shared" si="3"/>
        <v>7.4939141507328992</v>
      </c>
    </row>
    <row r="51" spans="1:21" x14ac:dyDescent="0.3">
      <c r="A51" s="18">
        <f t="shared" si="1"/>
        <v>46</v>
      </c>
      <c r="B51" s="18">
        <v>-2.8069083182513399</v>
      </c>
      <c r="C51" s="18"/>
      <c r="D51" s="18"/>
      <c r="L51" s="19">
        <f t="shared" si="5"/>
        <v>46</v>
      </c>
      <c r="M51" s="6">
        <f t="shared" si="0"/>
        <v>0</v>
      </c>
      <c r="N51" s="6">
        <f t="shared" si="7"/>
        <v>1.6402273622996497</v>
      </c>
      <c r="R51" s="24">
        <f t="shared" si="4"/>
        <v>45</v>
      </c>
      <c r="S51" s="1">
        <v>40787</v>
      </c>
      <c r="T51" s="2">
        <v>9</v>
      </c>
      <c r="U51" s="27">
        <f t="shared" si="3"/>
        <v>7.4385457632124243</v>
      </c>
    </row>
    <row r="52" spans="1:21" x14ac:dyDescent="0.3">
      <c r="A52" s="18">
        <f t="shared" si="1"/>
        <v>47</v>
      </c>
      <c r="B52" s="18">
        <v>-2.146889095768084</v>
      </c>
      <c r="C52" s="18"/>
      <c r="D52" s="18"/>
      <c r="L52" s="19">
        <f t="shared" si="5"/>
        <v>47</v>
      </c>
      <c r="M52" s="6">
        <f t="shared" si="0"/>
        <v>0</v>
      </c>
      <c r="N52" s="6">
        <f t="shared" si="7"/>
        <v>1.6701286495467316</v>
      </c>
      <c r="R52" s="24">
        <f t="shared" si="4"/>
        <v>46</v>
      </c>
      <c r="S52" s="1">
        <v>40817</v>
      </c>
      <c r="T52" s="2">
        <v>8.9</v>
      </c>
      <c r="U52" s="27">
        <f t="shared" si="3"/>
        <v>7.2597726377003511</v>
      </c>
    </row>
    <row r="53" spans="1:21" x14ac:dyDescent="0.3">
      <c r="A53" s="18">
        <f t="shared" si="1"/>
        <v>48</v>
      </c>
      <c r="B53" s="18">
        <v>-2.1491821707396594</v>
      </c>
      <c r="C53" s="18"/>
      <c r="D53" s="18"/>
      <c r="L53" s="19">
        <f t="shared" si="5"/>
        <v>48</v>
      </c>
      <c r="M53" s="6">
        <f t="shared" si="0"/>
        <v>0</v>
      </c>
      <c r="N53" s="6">
        <f t="shared" si="7"/>
        <v>1.6407711410446957</v>
      </c>
      <c r="R53" s="24">
        <f t="shared" si="4"/>
        <v>47</v>
      </c>
      <c r="S53" s="1">
        <v>40848</v>
      </c>
      <c r="T53" s="2">
        <v>8.6</v>
      </c>
      <c r="U53" s="27">
        <f t="shared" si="3"/>
        <v>6.9298713504532685</v>
      </c>
    </row>
    <row r="54" spans="1:21" x14ac:dyDescent="0.3">
      <c r="L54" s="19">
        <f t="shared" si="5"/>
        <v>49</v>
      </c>
      <c r="M54" s="6">
        <f t="shared" si="0"/>
        <v>0</v>
      </c>
      <c r="N54" s="6">
        <f t="shared" si="7"/>
        <v>1.5649292233052581</v>
      </c>
      <c r="R54" s="24">
        <f t="shared" si="4"/>
        <v>48</v>
      </c>
      <c r="S54" s="1">
        <v>40878</v>
      </c>
      <c r="T54" s="2">
        <v>8.5</v>
      </c>
      <c r="U54" s="27">
        <f t="shared" si="3"/>
        <v>6.8592288589553041</v>
      </c>
    </row>
    <row r="55" spans="1:21" x14ac:dyDescent="0.3">
      <c r="L55" s="19">
        <f t="shared" si="5"/>
        <v>50</v>
      </c>
      <c r="M55" s="6">
        <f t="shared" si="0"/>
        <v>0</v>
      </c>
      <c r="N55" s="6">
        <f t="shared" si="7"/>
        <v>1.5583616539975154</v>
      </c>
      <c r="R55" s="24">
        <f t="shared" si="4"/>
        <v>49</v>
      </c>
      <c r="S55" s="1">
        <v>40909</v>
      </c>
      <c r="T55" s="2">
        <v>8.3000000000000007</v>
      </c>
      <c r="U55" s="27">
        <f t="shared" si="3"/>
        <v>6.7350707766947426</v>
      </c>
    </row>
    <row r="56" spans="1:21" x14ac:dyDescent="0.3">
      <c r="L56" s="19">
        <f t="shared" si="5"/>
        <v>51</v>
      </c>
      <c r="M56" s="6">
        <f t="shared" si="0"/>
        <v>0</v>
      </c>
      <c r="N56" s="6">
        <f t="shared" si="7"/>
        <v>1.5150952099196293</v>
      </c>
      <c r="R56" s="24">
        <f t="shared" si="4"/>
        <v>50</v>
      </c>
      <c r="S56" s="1">
        <v>40940</v>
      </c>
      <c r="T56" s="2">
        <v>8.3000000000000007</v>
      </c>
      <c r="U56" s="27">
        <f t="shared" si="3"/>
        <v>6.7416383460024853</v>
      </c>
    </row>
    <row r="57" spans="1:21" x14ac:dyDescent="0.3">
      <c r="L57" s="19">
        <f t="shared" si="5"/>
        <v>52</v>
      </c>
      <c r="M57" s="6">
        <f t="shared" si="0"/>
        <v>0</v>
      </c>
      <c r="N57" s="6">
        <f t="shared" si="7"/>
        <v>1.4791549380750713</v>
      </c>
      <c r="R57" s="24">
        <f t="shared" si="4"/>
        <v>51</v>
      </c>
      <c r="S57" s="1">
        <v>40969</v>
      </c>
      <c r="T57" s="2">
        <v>8.1999999999999993</v>
      </c>
      <c r="U57" s="27">
        <f t="shared" si="3"/>
        <v>6.6849047900803704</v>
      </c>
    </row>
    <row r="58" spans="1:21" x14ac:dyDescent="0.3">
      <c r="L58" s="19">
        <f t="shared" si="5"/>
        <v>53</v>
      </c>
      <c r="M58" s="6">
        <f t="shared" si="0"/>
        <v>0</v>
      </c>
      <c r="N58" s="6">
        <f t="shared" si="7"/>
        <v>1.4191178000918103</v>
      </c>
      <c r="R58" s="24">
        <f t="shared" si="4"/>
        <v>52</v>
      </c>
      <c r="S58" s="1">
        <v>41000</v>
      </c>
      <c r="T58" s="2">
        <v>8.1</v>
      </c>
      <c r="U58" s="27">
        <f t="shared" si="3"/>
        <v>6.6208450619249284</v>
      </c>
    </row>
    <row r="59" spans="1:21" x14ac:dyDescent="0.3">
      <c r="L59" s="19">
        <f t="shared" si="5"/>
        <v>54</v>
      </c>
      <c r="M59" s="6">
        <f t="shared" si="0"/>
        <v>0</v>
      </c>
      <c r="N59" s="6">
        <f t="shared" si="7"/>
        <v>1.2883210177391065</v>
      </c>
      <c r="R59" s="24">
        <f t="shared" si="4"/>
        <v>53</v>
      </c>
      <c r="S59" s="1">
        <v>41030</v>
      </c>
      <c r="T59" s="2">
        <v>8.1999999999999993</v>
      </c>
      <c r="U59" s="27">
        <f t="shared" si="3"/>
        <v>6.7808821999081887</v>
      </c>
    </row>
    <row r="60" spans="1:21" x14ac:dyDescent="0.3">
      <c r="L60" s="19">
        <f t="shared" si="5"/>
        <v>55</v>
      </c>
      <c r="M60" s="6">
        <f t="shared" si="0"/>
        <v>0</v>
      </c>
      <c r="N60" s="6">
        <f t="shared" si="7"/>
        <v>1.212647635151523</v>
      </c>
      <c r="R60" s="24">
        <f t="shared" si="4"/>
        <v>54</v>
      </c>
      <c r="S60" s="1">
        <v>41061</v>
      </c>
      <c r="T60" s="2">
        <v>8.1999999999999993</v>
      </c>
      <c r="U60" s="27">
        <f t="shared" si="3"/>
        <v>6.9116789822608933</v>
      </c>
    </row>
    <row r="61" spans="1:21" x14ac:dyDescent="0.3">
      <c r="L61" s="19">
        <f t="shared" si="5"/>
        <v>56</v>
      </c>
      <c r="M61" s="6">
        <f t="shared" si="0"/>
        <v>0</v>
      </c>
      <c r="N61" s="6">
        <f t="shared" si="7"/>
        <v>1.1057021392459903</v>
      </c>
      <c r="R61" s="24">
        <f t="shared" si="4"/>
        <v>55</v>
      </c>
      <c r="S61" s="1">
        <v>41091</v>
      </c>
      <c r="T61" s="2">
        <v>8.1999999999999993</v>
      </c>
      <c r="U61" s="27">
        <f t="shared" si="3"/>
        <v>6.9873523648484763</v>
      </c>
    </row>
    <row r="62" spans="1:21" x14ac:dyDescent="0.3">
      <c r="L62" s="19">
        <f t="shared" si="5"/>
        <v>57</v>
      </c>
      <c r="M62" s="6">
        <f t="shared" si="0"/>
        <v>0</v>
      </c>
      <c r="N62" s="6">
        <f t="shared" si="7"/>
        <v>1.0352854481491829</v>
      </c>
      <c r="R62" s="24">
        <f t="shared" si="4"/>
        <v>56</v>
      </c>
      <c r="S62" s="1">
        <v>41122</v>
      </c>
      <c r="T62" s="2">
        <v>8.1</v>
      </c>
      <c r="U62" s="27">
        <f t="shared" si="3"/>
        <v>6.9942978607540098</v>
      </c>
    </row>
    <row r="63" spans="1:21" x14ac:dyDescent="0.3">
      <c r="L63" s="19">
        <f t="shared" si="5"/>
        <v>58</v>
      </c>
      <c r="M63" s="6">
        <f t="shared" si="0"/>
        <v>0</v>
      </c>
      <c r="N63" s="6">
        <f t="shared" si="7"/>
        <v>0.92321005119965471</v>
      </c>
      <c r="R63" s="24">
        <f t="shared" si="4"/>
        <v>57</v>
      </c>
      <c r="S63" s="1">
        <v>41153</v>
      </c>
      <c r="T63" s="2">
        <v>7.8</v>
      </c>
      <c r="U63" s="27">
        <f t="shared" si="3"/>
        <v>6.7647145518508172</v>
      </c>
    </row>
    <row r="64" spans="1:21" x14ac:dyDescent="0.3">
      <c r="L64" s="19">
        <f t="shared" si="5"/>
        <v>59</v>
      </c>
      <c r="M64" s="6">
        <f t="shared" si="0"/>
        <v>0</v>
      </c>
      <c r="N64" s="6">
        <f t="shared" si="7"/>
        <v>0.811770172007105</v>
      </c>
      <c r="R64" s="24">
        <f t="shared" si="4"/>
        <v>58</v>
      </c>
      <c r="S64" s="1">
        <v>41183</v>
      </c>
      <c r="T64" s="2">
        <v>7.9</v>
      </c>
      <c r="U64" s="27">
        <f t="shared" si="3"/>
        <v>6.976789948800346</v>
      </c>
    </row>
    <row r="65" spans="12:21" x14ac:dyDescent="0.3">
      <c r="L65" s="19">
        <f t="shared" si="5"/>
        <v>60</v>
      </c>
      <c r="M65" s="6">
        <f t="shared" si="0"/>
        <v>0</v>
      </c>
      <c r="N65" s="6">
        <f t="shared" si="7"/>
        <v>0.68923143690045874</v>
      </c>
      <c r="R65" s="24">
        <f t="shared" si="4"/>
        <v>59</v>
      </c>
      <c r="S65" s="1">
        <v>41214</v>
      </c>
      <c r="T65" s="2">
        <v>7.8</v>
      </c>
      <c r="U65" s="27">
        <f t="shared" si="3"/>
        <v>6.9882298279928952</v>
      </c>
    </row>
    <row r="66" spans="12:21" x14ac:dyDescent="0.3">
      <c r="L66" s="19">
        <f t="shared" si="5"/>
        <v>61</v>
      </c>
      <c r="M66" s="6">
        <f t="shared" si="0"/>
        <v>0</v>
      </c>
      <c r="N66" s="6">
        <f t="shared" si="7"/>
        <v>0.59421810926002538</v>
      </c>
      <c r="R66" s="24">
        <f t="shared" si="4"/>
        <v>60</v>
      </c>
      <c r="S66" s="1">
        <v>41244</v>
      </c>
      <c r="T66" s="2">
        <v>7.8</v>
      </c>
      <c r="U66" s="27">
        <f t="shared" si="3"/>
        <v>7.1107685630995414</v>
      </c>
    </row>
    <row r="67" spans="12:21" x14ac:dyDescent="0.3">
      <c r="L67" s="19">
        <f t="shared" si="5"/>
        <v>62</v>
      </c>
      <c r="M67" s="6">
        <f t="shared" si="0"/>
        <v>0</v>
      </c>
      <c r="N67" s="6">
        <f t="shared" si="7"/>
        <v>0.4946421896972561</v>
      </c>
      <c r="R67" s="24">
        <f t="shared" si="4"/>
        <v>61</v>
      </c>
      <c r="S67" s="1">
        <v>41275</v>
      </c>
      <c r="T67" s="2">
        <v>7.9</v>
      </c>
      <c r="U67" s="27">
        <f t="shared" si="3"/>
        <v>7.3057818907399747</v>
      </c>
    </row>
    <row r="68" spans="12:21" x14ac:dyDescent="0.3">
      <c r="L68" s="19">
        <f t="shared" si="5"/>
        <v>63</v>
      </c>
      <c r="M68" s="6">
        <f t="shared" si="0"/>
        <v>0</v>
      </c>
      <c r="N68" s="6">
        <f t="shared" si="7"/>
        <v>0.41119478857077157</v>
      </c>
      <c r="R68" s="24">
        <f t="shared" si="4"/>
        <v>62</v>
      </c>
      <c r="S68" s="1">
        <v>41306</v>
      </c>
      <c r="T68" s="2">
        <v>7.7</v>
      </c>
      <c r="U68" s="27">
        <f t="shared" si="3"/>
        <v>7.2053578103027442</v>
      </c>
    </row>
    <row r="69" spans="12:21" x14ac:dyDescent="0.3">
      <c r="L69" s="19">
        <f t="shared" si="5"/>
        <v>64</v>
      </c>
      <c r="M69" s="6">
        <f t="shared" si="0"/>
        <v>0</v>
      </c>
      <c r="N69" s="6">
        <f t="shared" si="7"/>
        <v>0.32213728868729019</v>
      </c>
      <c r="R69" s="24">
        <f t="shared" si="4"/>
        <v>63</v>
      </c>
      <c r="S69" s="1">
        <v>41334</v>
      </c>
      <c r="T69" s="2">
        <v>7.6</v>
      </c>
      <c r="U69" s="27">
        <f t="shared" si="3"/>
        <v>7.1888052114292282</v>
      </c>
    </row>
    <row r="70" spans="12:21" x14ac:dyDescent="0.3">
      <c r="L70" s="19">
        <f t="shared" si="5"/>
        <v>65</v>
      </c>
      <c r="M70" s="6">
        <f t="shared" ref="M70:M83" si="8">D70</f>
        <v>0</v>
      </c>
      <c r="N70" s="6">
        <f t="shared" si="7"/>
        <v>0.23862054733044344</v>
      </c>
      <c r="R70" s="24">
        <f t="shared" si="4"/>
        <v>64</v>
      </c>
      <c r="S70" s="1">
        <v>41365</v>
      </c>
      <c r="T70" s="2">
        <v>7.5</v>
      </c>
      <c r="U70" s="27">
        <f t="shared" si="3"/>
        <v>7.1778627113127094</v>
      </c>
    </row>
    <row r="71" spans="12:21" x14ac:dyDescent="0.3">
      <c r="L71" s="19">
        <f t="shared" si="5"/>
        <v>66</v>
      </c>
      <c r="M71" s="6">
        <f t="shared" si="8"/>
        <v>0</v>
      </c>
      <c r="R71" s="24">
        <f t="shared" si="4"/>
        <v>65</v>
      </c>
      <c r="S71" s="1">
        <v>41395</v>
      </c>
      <c r="T71" s="2">
        <v>7.6</v>
      </c>
      <c r="U71" s="27">
        <f t="shared" si="3"/>
        <v>7.3613794526695564</v>
      </c>
    </row>
    <row r="72" spans="12:21" x14ac:dyDescent="0.3">
      <c r="L72" s="19">
        <f t="shared" si="5"/>
        <v>67</v>
      </c>
      <c r="M72" s="6">
        <f t="shared" si="8"/>
        <v>0</v>
      </c>
      <c r="R72" s="24">
        <f t="shared" si="4"/>
        <v>66</v>
      </c>
      <c r="S72" s="1">
        <v>41426</v>
      </c>
      <c r="T72" s="2">
        <v>7.6</v>
      </c>
    </row>
    <row r="73" spans="12:21" x14ac:dyDescent="0.3">
      <c r="L73" s="19">
        <f t="shared" si="5"/>
        <v>68</v>
      </c>
      <c r="M73" s="6">
        <f t="shared" si="8"/>
        <v>0</v>
      </c>
      <c r="R73" s="24">
        <f t="shared" ref="R73:R80" si="9">R72+1</f>
        <v>67</v>
      </c>
      <c r="S73" s="1">
        <v>41456</v>
      </c>
      <c r="T73" s="2">
        <v>7.4</v>
      </c>
    </row>
    <row r="74" spans="12:21" x14ac:dyDescent="0.3">
      <c r="L74" s="19">
        <f t="shared" si="5"/>
        <v>69</v>
      </c>
      <c r="M74" s="6">
        <f t="shared" si="8"/>
        <v>0</v>
      </c>
      <c r="R74" s="24">
        <f t="shared" si="9"/>
        <v>68</v>
      </c>
      <c r="S74" s="1">
        <v>35125</v>
      </c>
      <c r="T74" s="2">
        <v>5.5</v>
      </c>
    </row>
    <row r="75" spans="12:21" x14ac:dyDescent="0.3">
      <c r="L75" s="19">
        <f t="shared" ref="L75:L110" si="10">L74+1</f>
        <v>70</v>
      </c>
      <c r="M75" s="6">
        <f t="shared" si="8"/>
        <v>0</v>
      </c>
      <c r="R75" s="24">
        <f t="shared" si="9"/>
        <v>69</v>
      </c>
      <c r="S75" s="1">
        <v>35156</v>
      </c>
      <c r="T75" s="2">
        <v>5.6</v>
      </c>
    </row>
    <row r="76" spans="12:21" x14ac:dyDescent="0.3">
      <c r="L76" s="19">
        <f t="shared" si="10"/>
        <v>71</v>
      </c>
      <c r="M76" s="6">
        <f t="shared" si="8"/>
        <v>0</v>
      </c>
      <c r="R76" s="24">
        <f t="shared" si="9"/>
        <v>70</v>
      </c>
      <c r="S76" s="1">
        <v>35186</v>
      </c>
      <c r="T76" s="2">
        <v>5.6</v>
      </c>
    </row>
    <row r="77" spans="12:21" x14ac:dyDescent="0.3">
      <c r="L77" s="19">
        <f t="shared" si="10"/>
        <v>72</v>
      </c>
      <c r="M77" s="6">
        <f t="shared" si="8"/>
        <v>0</v>
      </c>
      <c r="R77" s="24">
        <f t="shared" si="9"/>
        <v>71</v>
      </c>
      <c r="S77" s="1">
        <v>35217</v>
      </c>
      <c r="T77" s="2">
        <v>5.3</v>
      </c>
    </row>
    <row r="78" spans="12:21" x14ac:dyDescent="0.3">
      <c r="L78" s="19">
        <f t="shared" si="10"/>
        <v>73</v>
      </c>
      <c r="M78" s="6">
        <f t="shared" si="8"/>
        <v>0</v>
      </c>
      <c r="R78" s="24">
        <f t="shared" si="9"/>
        <v>72</v>
      </c>
      <c r="S78" s="1">
        <v>35247</v>
      </c>
      <c r="T78" s="2">
        <v>5.5</v>
      </c>
    </row>
    <row r="79" spans="12:21" x14ac:dyDescent="0.3">
      <c r="L79" s="19">
        <f t="shared" si="10"/>
        <v>74</v>
      </c>
      <c r="M79" s="6">
        <f t="shared" si="8"/>
        <v>0</v>
      </c>
      <c r="R79" s="24">
        <f t="shared" si="9"/>
        <v>73</v>
      </c>
      <c r="S79" s="1">
        <v>35278</v>
      </c>
      <c r="T79" s="2">
        <v>5.0999999999999996</v>
      </c>
    </row>
    <row r="80" spans="12:21" x14ac:dyDescent="0.3">
      <c r="L80" s="19">
        <f t="shared" si="10"/>
        <v>75</v>
      </c>
      <c r="M80" s="6">
        <f t="shared" si="8"/>
        <v>0</v>
      </c>
      <c r="R80" s="24">
        <f t="shared" si="9"/>
        <v>74</v>
      </c>
      <c r="S80" s="1">
        <v>35309</v>
      </c>
      <c r="T80" s="2">
        <v>5.2</v>
      </c>
    </row>
    <row r="81" spans="12:13" x14ac:dyDescent="0.3">
      <c r="L81" s="19">
        <f t="shared" si="10"/>
        <v>76</v>
      </c>
      <c r="M81" s="6">
        <f t="shared" si="8"/>
        <v>0</v>
      </c>
    </row>
    <row r="82" spans="12:13" x14ac:dyDescent="0.3">
      <c r="L82" s="19">
        <f t="shared" si="10"/>
        <v>77</v>
      </c>
      <c r="M82" s="6">
        <f t="shared" si="8"/>
        <v>0</v>
      </c>
    </row>
    <row r="83" spans="12:13" x14ac:dyDescent="0.3">
      <c r="L83" s="19">
        <f t="shared" si="10"/>
        <v>78</v>
      </c>
      <c r="M83" s="6">
        <f t="shared" si="8"/>
        <v>0</v>
      </c>
    </row>
    <row r="84" spans="12:13" x14ac:dyDescent="0.3">
      <c r="L84" s="19">
        <f t="shared" si="10"/>
        <v>79</v>
      </c>
      <c r="M84" s="6">
        <v>0</v>
      </c>
    </row>
    <row r="85" spans="12:13" x14ac:dyDescent="0.3">
      <c r="L85" s="19">
        <f t="shared" si="10"/>
        <v>80</v>
      </c>
      <c r="M85" s="6">
        <v>0</v>
      </c>
    </row>
    <row r="86" spans="12:13" x14ac:dyDescent="0.3">
      <c r="L86" s="19">
        <f t="shared" si="10"/>
        <v>81</v>
      </c>
      <c r="M86" s="6">
        <v>0</v>
      </c>
    </row>
    <row r="87" spans="12:13" x14ac:dyDescent="0.3">
      <c r="L87" s="19">
        <f t="shared" si="10"/>
        <v>82</v>
      </c>
      <c r="M87" s="6">
        <v>0</v>
      </c>
    </row>
    <row r="88" spans="12:13" x14ac:dyDescent="0.3">
      <c r="L88" s="19">
        <f t="shared" si="10"/>
        <v>83</v>
      </c>
      <c r="M88" s="6">
        <v>0</v>
      </c>
    </row>
    <row r="89" spans="12:13" x14ac:dyDescent="0.3">
      <c r="L89" s="19">
        <f t="shared" si="10"/>
        <v>84</v>
      </c>
      <c r="M89" s="6">
        <v>0</v>
      </c>
    </row>
    <row r="90" spans="12:13" x14ac:dyDescent="0.3">
      <c r="L90" s="19">
        <f t="shared" si="10"/>
        <v>85</v>
      </c>
      <c r="M90" s="6">
        <v>0</v>
      </c>
    </row>
    <row r="91" spans="12:13" x14ac:dyDescent="0.3">
      <c r="L91" s="19">
        <f t="shared" si="10"/>
        <v>86</v>
      </c>
      <c r="M91" s="6">
        <v>0</v>
      </c>
    </row>
    <row r="92" spans="12:13" x14ac:dyDescent="0.3">
      <c r="L92" s="19">
        <f t="shared" si="10"/>
        <v>87</v>
      </c>
      <c r="M92" s="6">
        <v>0</v>
      </c>
    </row>
    <row r="93" spans="12:13" x14ac:dyDescent="0.3">
      <c r="L93" s="19">
        <f t="shared" si="10"/>
        <v>88</v>
      </c>
      <c r="M93" s="6">
        <v>0</v>
      </c>
    </row>
    <row r="94" spans="12:13" x14ac:dyDescent="0.3">
      <c r="L94" s="19">
        <f t="shared" si="10"/>
        <v>89</v>
      </c>
      <c r="M94" s="6">
        <v>0</v>
      </c>
    </row>
    <row r="95" spans="12:13" x14ac:dyDescent="0.3">
      <c r="L95" s="19">
        <f t="shared" si="10"/>
        <v>90</v>
      </c>
      <c r="M95" s="6">
        <v>0</v>
      </c>
    </row>
    <row r="96" spans="12:13" x14ac:dyDescent="0.3">
      <c r="L96" s="19">
        <f t="shared" si="10"/>
        <v>91</v>
      </c>
      <c r="M96" s="6">
        <v>0</v>
      </c>
    </row>
    <row r="97" spans="12:13" x14ac:dyDescent="0.3">
      <c r="L97" s="19">
        <f t="shared" si="10"/>
        <v>92</v>
      </c>
      <c r="M97" s="6">
        <v>0</v>
      </c>
    </row>
    <row r="98" spans="12:13" x14ac:dyDescent="0.3">
      <c r="L98" s="19">
        <f t="shared" si="10"/>
        <v>93</v>
      </c>
      <c r="M98" s="6">
        <v>0</v>
      </c>
    </row>
    <row r="99" spans="12:13" x14ac:dyDescent="0.3">
      <c r="L99" s="19">
        <f t="shared" si="10"/>
        <v>94</v>
      </c>
      <c r="M99" s="6">
        <v>0</v>
      </c>
    </row>
    <row r="100" spans="12:13" x14ac:dyDescent="0.3">
      <c r="L100" s="19">
        <f t="shared" si="10"/>
        <v>95</v>
      </c>
      <c r="M100" s="6">
        <v>0</v>
      </c>
    </row>
    <row r="101" spans="12:13" x14ac:dyDescent="0.3">
      <c r="L101" s="19">
        <f t="shared" si="10"/>
        <v>96</v>
      </c>
      <c r="M101" s="6">
        <v>0</v>
      </c>
    </row>
    <row r="102" spans="12:13" x14ac:dyDescent="0.3">
      <c r="L102" s="19">
        <f t="shared" si="10"/>
        <v>97</v>
      </c>
      <c r="M102" s="6">
        <v>0</v>
      </c>
    </row>
    <row r="103" spans="12:13" x14ac:dyDescent="0.3">
      <c r="L103" s="19">
        <f t="shared" si="10"/>
        <v>98</v>
      </c>
      <c r="M103" s="6">
        <v>0</v>
      </c>
    </row>
    <row r="104" spans="12:13" x14ac:dyDescent="0.3">
      <c r="L104" s="19">
        <f t="shared" si="10"/>
        <v>99</v>
      </c>
      <c r="M104" s="6">
        <v>0</v>
      </c>
    </row>
    <row r="105" spans="12:13" x14ac:dyDescent="0.3">
      <c r="L105" s="19">
        <f t="shared" si="10"/>
        <v>100</v>
      </c>
      <c r="M105" s="6">
        <v>0</v>
      </c>
    </row>
    <row r="106" spans="12:13" x14ac:dyDescent="0.3">
      <c r="L106" s="19">
        <f t="shared" si="10"/>
        <v>101</v>
      </c>
    </row>
    <row r="107" spans="12:13" x14ac:dyDescent="0.3">
      <c r="L107" s="19">
        <f t="shared" si="10"/>
        <v>102</v>
      </c>
    </row>
    <row r="108" spans="12:13" x14ac:dyDescent="0.3">
      <c r="L108" s="19">
        <f t="shared" si="10"/>
        <v>103</v>
      </c>
    </row>
    <row r="109" spans="12:13" x14ac:dyDescent="0.3">
      <c r="L109" s="19">
        <f t="shared" si="10"/>
        <v>104</v>
      </c>
    </row>
    <row r="110" spans="12:13" x14ac:dyDescent="0.3">
      <c r="L110" s="19">
        <f t="shared" si="10"/>
        <v>105</v>
      </c>
    </row>
  </sheetData>
  <mergeCells count="1">
    <mergeCell ref="B3:C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320"/>
  <sheetViews>
    <sheetView topLeftCell="A10" workbookViewId="0">
      <selection activeCell="D5" sqref="D5:D22"/>
    </sheetView>
  </sheetViews>
  <sheetFormatPr defaultRowHeight="14.4" x14ac:dyDescent="0.3"/>
  <cols>
    <col min="3" max="3" width="9.109375" style="12"/>
    <col min="4" max="7" width="7.88671875" style="12" customWidth="1"/>
    <col min="8" max="8" width="1.5546875" customWidth="1"/>
    <col min="9" max="11" width="8.44140625" style="6" customWidth="1"/>
    <col min="12" max="12" width="2.33203125" customWidth="1"/>
    <col min="13" max="15" width="9.109375" style="34"/>
    <col min="16" max="16" width="3.109375" customWidth="1"/>
    <col min="17" max="19" width="9.109375" style="35"/>
    <col min="20" max="20" width="3.88671875" style="36" customWidth="1"/>
    <col min="21" max="21" width="4.88671875" style="37" customWidth="1"/>
    <col min="22" max="27" width="9.109375" style="37"/>
    <col min="29" max="34" width="20.6640625" customWidth="1"/>
  </cols>
  <sheetData>
    <row r="1" spans="1:34" x14ac:dyDescent="0.3">
      <c r="A1" t="s">
        <v>34</v>
      </c>
      <c r="I1" s="6" t="s">
        <v>32</v>
      </c>
      <c r="K1" s="33">
        <v>1.5</v>
      </c>
      <c r="M1" s="34" t="s">
        <v>95</v>
      </c>
      <c r="O1" s="34">
        <v>-0.249</v>
      </c>
      <c r="AC1" s="29" t="s">
        <v>35</v>
      </c>
      <c r="AD1" s="29" t="s">
        <v>36</v>
      </c>
      <c r="AE1" s="29" t="s">
        <v>65</v>
      </c>
      <c r="AF1" s="29"/>
      <c r="AG1" s="29" t="s">
        <v>75</v>
      </c>
      <c r="AH1" s="29" t="s">
        <v>75</v>
      </c>
    </row>
    <row r="2" spans="1:34" x14ac:dyDescent="0.3">
      <c r="V2" s="37" t="s">
        <v>98</v>
      </c>
      <c r="AC2" s="29" t="s">
        <v>37</v>
      </c>
      <c r="AD2" s="29" t="s">
        <v>38</v>
      </c>
      <c r="AE2" s="29" t="s">
        <v>66</v>
      </c>
      <c r="AF2" s="29"/>
      <c r="AG2" s="29" t="s">
        <v>76</v>
      </c>
      <c r="AH2" s="29" t="s">
        <v>76</v>
      </c>
    </row>
    <row r="3" spans="1:34" ht="44.25" customHeight="1" x14ac:dyDescent="0.3">
      <c r="D3" s="61" t="s">
        <v>31</v>
      </c>
      <c r="E3" s="61"/>
      <c r="F3" s="61"/>
      <c r="G3" s="61"/>
      <c r="I3" s="62" t="s">
        <v>33</v>
      </c>
      <c r="J3" s="62"/>
      <c r="K3" s="62"/>
      <c r="M3" s="63" t="s">
        <v>96</v>
      </c>
      <c r="N3" s="63"/>
      <c r="O3" s="63"/>
      <c r="Q3" s="64" t="s">
        <v>97</v>
      </c>
      <c r="R3" s="64"/>
      <c r="S3" s="64"/>
      <c r="T3" s="24"/>
      <c r="U3" s="38"/>
      <c r="V3" s="59">
        <v>33055</v>
      </c>
      <c r="W3" s="60"/>
      <c r="X3" s="59">
        <v>36951</v>
      </c>
      <c r="Y3" s="60"/>
      <c r="Z3" s="60" t="s">
        <v>103</v>
      </c>
      <c r="AA3" s="60"/>
      <c r="AC3" s="29" t="s">
        <v>39</v>
      </c>
      <c r="AD3" s="29" t="s">
        <v>40</v>
      </c>
      <c r="AE3" s="29" t="s">
        <v>67</v>
      </c>
      <c r="AF3" s="29"/>
      <c r="AG3" s="29" t="s">
        <v>77</v>
      </c>
      <c r="AH3" s="29" t="s">
        <v>77</v>
      </c>
    </row>
    <row r="4" spans="1:34" x14ac:dyDescent="0.3">
      <c r="C4" s="14"/>
      <c r="D4" s="39" t="s">
        <v>17</v>
      </c>
      <c r="E4" s="39" t="s">
        <v>28</v>
      </c>
      <c r="F4" s="39" t="s">
        <v>29</v>
      </c>
      <c r="G4" s="39" t="s">
        <v>30</v>
      </c>
      <c r="H4" s="4"/>
      <c r="I4" s="40" t="s">
        <v>28</v>
      </c>
      <c r="J4" s="40" t="s">
        <v>29</v>
      </c>
      <c r="K4" s="40" t="s">
        <v>30</v>
      </c>
      <c r="L4" s="4"/>
      <c r="M4" s="41" t="s">
        <v>28</v>
      </c>
      <c r="N4" s="41" t="s">
        <v>29</v>
      </c>
      <c r="O4" s="41" t="s">
        <v>30</v>
      </c>
      <c r="P4" s="4"/>
      <c r="Q4" s="42" t="s">
        <v>28</v>
      </c>
      <c r="R4" s="42" t="s">
        <v>29</v>
      </c>
      <c r="S4" s="42" t="s">
        <v>30</v>
      </c>
      <c r="T4" s="43"/>
      <c r="U4" s="45" t="s">
        <v>104</v>
      </c>
      <c r="V4" s="44" t="s">
        <v>99</v>
      </c>
      <c r="W4" s="45" t="s">
        <v>100</v>
      </c>
      <c r="X4" s="45" t="s">
        <v>99</v>
      </c>
      <c r="Y4" s="45" t="s">
        <v>100</v>
      </c>
      <c r="Z4" s="45" t="s">
        <v>99</v>
      </c>
      <c r="AA4" s="45" t="s">
        <v>100</v>
      </c>
      <c r="AC4" s="29" t="s">
        <v>41</v>
      </c>
      <c r="AD4" s="29" t="s">
        <v>42</v>
      </c>
      <c r="AE4" s="29" t="s">
        <v>68</v>
      </c>
      <c r="AF4" s="29"/>
      <c r="AG4" s="29" t="s">
        <v>78</v>
      </c>
      <c r="AH4" s="29" t="s">
        <v>78</v>
      </c>
    </row>
    <row r="5" spans="1:34" x14ac:dyDescent="0.3">
      <c r="C5" s="31">
        <v>-1</v>
      </c>
      <c r="D5" s="57">
        <v>0</v>
      </c>
      <c r="E5" s="32">
        <v>0</v>
      </c>
      <c r="F5" s="32">
        <v>0</v>
      </c>
      <c r="G5" s="32">
        <v>0</v>
      </c>
      <c r="Q5" s="35">
        <v>0</v>
      </c>
      <c r="R5" s="35">
        <v>0</v>
      </c>
      <c r="S5" s="35">
        <v>0</v>
      </c>
      <c r="U5" s="46">
        <v>-1</v>
      </c>
      <c r="V5" s="47">
        <v>5.3</v>
      </c>
      <c r="W5" s="48">
        <f>V5-Q5</f>
        <v>5.3</v>
      </c>
      <c r="X5" s="47">
        <v>3.9</v>
      </c>
      <c r="Y5" s="48">
        <f>X5-R5</f>
        <v>3.9</v>
      </c>
      <c r="Z5" s="47">
        <v>4.7</v>
      </c>
      <c r="AA5" s="48">
        <f>Z5-S5</f>
        <v>4.7</v>
      </c>
      <c r="AC5" s="29" t="s">
        <v>43</v>
      </c>
      <c r="AD5" s="29" t="s">
        <v>44</v>
      </c>
      <c r="AE5" s="29" t="s">
        <v>69</v>
      </c>
      <c r="AF5" s="29"/>
      <c r="AG5" s="29" t="s">
        <v>79</v>
      </c>
      <c r="AH5" s="29" t="s">
        <v>79</v>
      </c>
    </row>
    <row r="6" spans="1:34" x14ac:dyDescent="0.3">
      <c r="C6" s="31">
        <v>0</v>
      </c>
      <c r="D6" s="57">
        <v>-7.8685262480608781E-2</v>
      </c>
      <c r="E6" s="32">
        <v>0.43742365292362351</v>
      </c>
      <c r="F6" s="32">
        <v>0.18306894932103068</v>
      </c>
      <c r="G6" s="32">
        <v>5.5041773171500274E-3</v>
      </c>
      <c r="I6" s="6">
        <f>-((E6-E5)-($D6-$D5))*$K$1</f>
        <v>-0.77416337310634842</v>
      </c>
      <c r="J6" s="6">
        <f t="shared" ref="J6:K6" si="0">-((F6-F5)-($D6-$D5))*$K$1</f>
        <v>-0.39263131770245924</v>
      </c>
      <c r="K6" s="6">
        <f t="shared" si="0"/>
        <v>-0.1262841596966382</v>
      </c>
      <c r="M6" s="34">
        <f>I6*$O$1</f>
        <v>0.19276667990348076</v>
      </c>
      <c r="N6" s="34">
        <f t="shared" ref="N6:O6" si="1">J6*$O$1</f>
        <v>9.7765198107912343E-2</v>
      </c>
      <c r="O6" s="34">
        <f t="shared" si="1"/>
        <v>3.1444755764462914E-2</v>
      </c>
      <c r="Q6" s="35">
        <f>M6</f>
        <v>0.19276667990348076</v>
      </c>
      <c r="R6" s="35">
        <f t="shared" ref="R6:S6" si="2">N6</f>
        <v>9.7765198107912343E-2</v>
      </c>
      <c r="S6" s="35">
        <f t="shared" si="2"/>
        <v>3.1444755764462914E-2</v>
      </c>
      <c r="U6" s="46">
        <v>0</v>
      </c>
      <c r="V6" s="47">
        <v>5.7</v>
      </c>
      <c r="W6" s="48">
        <f>V6-Q6</f>
        <v>5.5072333200965193</v>
      </c>
      <c r="X6" s="47">
        <v>4.2</v>
      </c>
      <c r="Y6" s="48">
        <f t="shared" ref="Y6:Y22" si="3">X6-R6</f>
        <v>4.102234801892088</v>
      </c>
      <c r="Z6" s="47">
        <v>4.8</v>
      </c>
      <c r="AA6" s="48">
        <f t="shared" ref="AA6:AA22" si="4">Z6-S6</f>
        <v>4.7685552442355368</v>
      </c>
      <c r="AC6" s="29" t="s">
        <v>45</v>
      </c>
      <c r="AD6" s="29" t="s">
        <v>46</v>
      </c>
      <c r="AE6" s="29" t="s">
        <v>46</v>
      </c>
      <c r="AF6" s="29"/>
      <c r="AG6" s="29" t="s">
        <v>46</v>
      </c>
      <c r="AH6" s="29" t="s">
        <v>46</v>
      </c>
    </row>
    <row r="7" spans="1:34" x14ac:dyDescent="0.3">
      <c r="C7" s="31">
        <v>1</v>
      </c>
      <c r="D7" s="57">
        <v>-7.4179072313212857E-2</v>
      </c>
      <c r="E7" s="32">
        <v>0.76484683902336048</v>
      </c>
      <c r="F7" s="32">
        <v>-7.308062228767942E-2</v>
      </c>
      <c r="G7" s="32">
        <v>-0.44887333307785715</v>
      </c>
      <c r="I7" s="6">
        <f t="shared" ref="I7:I22" si="5">-((E7-E6)-($D7-$D6))*$K$1</f>
        <v>-0.48437549389851153</v>
      </c>
      <c r="J7" s="6">
        <f t="shared" ref="J7:J22" si="6">-((F7-F6)-($D7-$D6))*$K$1</f>
        <v>0.39098364266415908</v>
      </c>
      <c r="K7" s="6">
        <f t="shared" ref="K7:K22" si="7">-((G7-G6)-($D7-$D6))*$K$1</f>
        <v>0.68832555084360469</v>
      </c>
      <c r="M7" s="34">
        <f t="shared" ref="M7:M22" si="8">I7*$O$1</f>
        <v>0.12060949798072937</v>
      </c>
      <c r="N7" s="34">
        <f t="shared" ref="N7:N22" si="9">J7*$O$1</f>
        <v>-9.7354927023375615E-2</v>
      </c>
      <c r="O7" s="34">
        <f t="shared" ref="O7:O22" si="10">K7*$O$1</f>
        <v>-0.17139306216005756</v>
      </c>
      <c r="Q7" s="35">
        <f>Q6+M7</f>
        <v>0.31337617788421013</v>
      </c>
      <c r="R7" s="35">
        <f t="shared" ref="R7:S7" si="11">R6+N7</f>
        <v>4.1027108453672856E-4</v>
      </c>
      <c r="S7" s="35">
        <f t="shared" si="11"/>
        <v>-0.13994830639559463</v>
      </c>
      <c r="U7" s="46">
        <f>U6+1</f>
        <v>1</v>
      </c>
      <c r="V7" s="47">
        <v>6.1</v>
      </c>
      <c r="W7" s="48">
        <f>V7-Q7</f>
        <v>5.7866238221157893</v>
      </c>
      <c r="X7" s="47">
        <v>4.4000000000000004</v>
      </c>
      <c r="Y7" s="48">
        <f t="shared" si="3"/>
        <v>4.3995897289154637</v>
      </c>
      <c r="Z7" s="47">
        <v>5</v>
      </c>
      <c r="AA7" s="48">
        <f t="shared" si="4"/>
        <v>5.1399483063955946</v>
      </c>
      <c r="AC7" s="29" t="s">
        <v>47</v>
      </c>
      <c r="AD7" s="29" t="s">
        <v>48</v>
      </c>
      <c r="AE7" s="29" t="s">
        <v>70</v>
      </c>
      <c r="AF7" s="29"/>
      <c r="AG7" s="29" t="s">
        <v>17</v>
      </c>
      <c r="AH7" s="29" t="s">
        <v>17</v>
      </c>
    </row>
    <row r="8" spans="1:34" x14ac:dyDescent="0.3">
      <c r="C8" s="31">
        <v>2</v>
      </c>
      <c r="D8" s="57">
        <v>-0.26743994472104154</v>
      </c>
      <c r="E8" s="32">
        <v>1.6966906071935817</v>
      </c>
      <c r="F8" s="32">
        <v>-1.7374335316557441</v>
      </c>
      <c r="G8" s="32">
        <v>-2.8988054570928266</v>
      </c>
      <c r="I8" s="6">
        <f t="shared" si="5"/>
        <v>-1.6876569608670748</v>
      </c>
      <c r="J8" s="6">
        <f t="shared" si="6"/>
        <v>2.206638055440354</v>
      </c>
      <c r="K8" s="6">
        <f t="shared" si="7"/>
        <v>3.3850068774107109</v>
      </c>
      <c r="M8" s="34">
        <f t="shared" si="8"/>
        <v>0.42022658325590162</v>
      </c>
      <c r="N8" s="34">
        <f t="shared" si="9"/>
        <v>-0.54945287580464819</v>
      </c>
      <c r="O8" s="34">
        <f t="shared" si="10"/>
        <v>-0.84286671247526701</v>
      </c>
      <c r="Q8" s="35">
        <f t="shared" ref="Q8:Q22" si="12">Q7+M8</f>
        <v>0.73360276114011169</v>
      </c>
      <c r="R8" s="35">
        <f t="shared" ref="R8:R22" si="13">R7+N8</f>
        <v>-0.54904260472011146</v>
      </c>
      <c r="S8" s="35">
        <f t="shared" ref="S8:S22" si="14">S7+O8</f>
        <v>-0.98281501887086165</v>
      </c>
      <c r="U8" s="46">
        <f t="shared" ref="U8:U22" si="15">U7+1</f>
        <v>2</v>
      </c>
      <c r="V8" s="47">
        <v>6.6</v>
      </c>
      <c r="W8" s="48">
        <f t="shared" ref="W8:W22" si="16">V8-Q8</f>
        <v>5.8663972388598875</v>
      </c>
      <c r="X8" s="47">
        <v>4.8</v>
      </c>
      <c r="Y8" s="48">
        <f t="shared" si="3"/>
        <v>5.3490426047201112</v>
      </c>
      <c r="Z8" s="47">
        <v>5.3</v>
      </c>
      <c r="AA8" s="48">
        <f t="shared" si="4"/>
        <v>6.2828150188708616</v>
      </c>
      <c r="AC8" s="29" t="s">
        <v>49</v>
      </c>
      <c r="AD8" s="29" t="s">
        <v>50</v>
      </c>
      <c r="AE8" s="29" t="s">
        <v>71</v>
      </c>
      <c r="AF8" s="29"/>
      <c r="AG8" s="29" t="s">
        <v>80</v>
      </c>
      <c r="AH8" s="29" t="s">
        <v>101</v>
      </c>
    </row>
    <row r="9" spans="1:34" x14ac:dyDescent="0.3">
      <c r="C9" s="31">
        <v>3</v>
      </c>
      <c r="D9" s="57">
        <v>-6.6257248447727318E-2</v>
      </c>
      <c r="E9" s="32">
        <v>0.84509115513621902</v>
      </c>
      <c r="F9" s="32">
        <v>-0.5567488673667782</v>
      </c>
      <c r="G9" s="32">
        <v>-1.512661112463495</v>
      </c>
      <c r="I9" s="6">
        <f t="shared" si="5"/>
        <v>1.5791732224960153</v>
      </c>
      <c r="J9" s="6">
        <f t="shared" si="6"/>
        <v>-1.4692529520234776</v>
      </c>
      <c r="K9" s="6">
        <f t="shared" si="7"/>
        <v>-1.7774424725340259</v>
      </c>
      <c r="M9" s="34">
        <f t="shared" si="8"/>
        <v>-0.39321413240150782</v>
      </c>
      <c r="N9" s="34">
        <f t="shared" si="9"/>
        <v>0.36584398505384591</v>
      </c>
      <c r="O9" s="34">
        <f t="shared" si="10"/>
        <v>0.44258317566097244</v>
      </c>
      <c r="Q9" s="35">
        <f t="shared" si="12"/>
        <v>0.34038862873860387</v>
      </c>
      <c r="R9" s="35">
        <f t="shared" si="13"/>
        <v>-0.18319861966626555</v>
      </c>
      <c r="S9" s="35">
        <f t="shared" si="14"/>
        <v>-0.54023184320988915</v>
      </c>
      <c r="U9" s="46">
        <f t="shared" si="15"/>
        <v>3</v>
      </c>
      <c r="V9" s="47">
        <v>6.8</v>
      </c>
      <c r="W9" s="48">
        <f t="shared" si="16"/>
        <v>6.4596113712613956</v>
      </c>
      <c r="X9" s="47">
        <v>5.5</v>
      </c>
      <c r="Y9" s="48">
        <f t="shared" si="3"/>
        <v>5.6831986196662658</v>
      </c>
      <c r="Z9" s="47">
        <v>6</v>
      </c>
      <c r="AA9" s="48">
        <f t="shared" si="4"/>
        <v>6.5402318432098889</v>
      </c>
      <c r="AC9" s="29" t="s">
        <v>51</v>
      </c>
      <c r="AD9" s="29" t="s">
        <v>52</v>
      </c>
      <c r="AE9" s="29" t="s">
        <v>72</v>
      </c>
      <c r="AF9" s="29"/>
      <c r="AG9" s="29" t="s">
        <v>81</v>
      </c>
      <c r="AH9" s="29" t="s">
        <v>102</v>
      </c>
    </row>
    <row r="10" spans="1:34" x14ac:dyDescent="0.3">
      <c r="C10" s="31">
        <v>4</v>
      </c>
      <c r="D10" s="57">
        <v>-0.21643825355538432</v>
      </c>
      <c r="E10" s="32">
        <v>0.65111608316829983</v>
      </c>
      <c r="F10" s="32">
        <v>-2.3532024612443943</v>
      </c>
      <c r="G10" s="32">
        <v>-0.7469927911693115</v>
      </c>
      <c r="I10" s="6">
        <f t="shared" si="5"/>
        <v>6.5691100290393281E-2</v>
      </c>
      <c r="J10" s="6">
        <f t="shared" si="6"/>
        <v>2.4694088831549386</v>
      </c>
      <c r="K10" s="6">
        <f t="shared" si="7"/>
        <v>-1.3737739896027608</v>
      </c>
      <c r="M10" s="34">
        <f t="shared" si="8"/>
        <v>-1.6357083972307927E-2</v>
      </c>
      <c r="N10" s="34">
        <f t="shared" si="9"/>
        <v>-0.6148828119055797</v>
      </c>
      <c r="O10" s="34">
        <f t="shared" si="10"/>
        <v>0.34206972341108743</v>
      </c>
      <c r="Q10" s="35">
        <f t="shared" si="12"/>
        <v>0.32403154476629592</v>
      </c>
      <c r="R10" s="35">
        <f t="shared" si="13"/>
        <v>-0.79808143157184519</v>
      </c>
      <c r="S10" s="35">
        <f t="shared" si="14"/>
        <v>-0.19816211979880172</v>
      </c>
      <c r="U10" s="46">
        <f t="shared" si="15"/>
        <v>4</v>
      </c>
      <c r="V10" s="47">
        <v>6.9</v>
      </c>
      <c r="W10" s="48">
        <f t="shared" si="16"/>
        <v>6.5759684552337045</v>
      </c>
      <c r="X10" s="47">
        <v>5.7</v>
      </c>
      <c r="Y10" s="48">
        <f t="shared" si="3"/>
        <v>6.4980814315718458</v>
      </c>
      <c r="Z10" s="47">
        <v>6.9</v>
      </c>
      <c r="AA10" s="48">
        <f t="shared" si="4"/>
        <v>7.0981621197988023</v>
      </c>
      <c r="AC10" s="29" t="s">
        <v>53</v>
      </c>
      <c r="AD10" s="29" t="s">
        <v>54</v>
      </c>
      <c r="AG10" s="29" t="s">
        <v>82</v>
      </c>
      <c r="AH10" s="29" t="s">
        <v>82</v>
      </c>
    </row>
    <row r="11" spans="1:34" x14ac:dyDescent="0.3">
      <c r="C11" s="31">
        <v>5</v>
      </c>
      <c r="D11" s="57">
        <v>-0.42309884911426698</v>
      </c>
      <c r="E11" s="32">
        <v>0.5891077713661157</v>
      </c>
      <c r="F11" s="32">
        <v>-2.619962373205504</v>
      </c>
      <c r="G11" s="32">
        <v>-2.4559228036737397</v>
      </c>
      <c r="I11" s="6">
        <f t="shared" si="5"/>
        <v>-0.21697842563504779</v>
      </c>
      <c r="J11" s="6">
        <f t="shared" si="6"/>
        <v>9.0148974603340565E-2</v>
      </c>
      <c r="K11" s="6">
        <f t="shared" si="7"/>
        <v>2.2534041254183181</v>
      </c>
      <c r="M11" s="34">
        <f t="shared" si="8"/>
        <v>5.4027627983126901E-2</v>
      </c>
      <c r="N11" s="34">
        <f t="shared" si="9"/>
        <v>-2.24470946762318E-2</v>
      </c>
      <c r="O11" s="34">
        <f t="shared" si="10"/>
        <v>-0.56109762722916123</v>
      </c>
      <c r="Q11" s="35">
        <f t="shared" si="12"/>
        <v>0.3780591727494228</v>
      </c>
      <c r="R11" s="35">
        <f t="shared" si="13"/>
        <v>-0.82052852624807704</v>
      </c>
      <c r="S11" s="35">
        <f t="shared" si="14"/>
        <v>-0.75925974702796295</v>
      </c>
      <c r="U11" s="46">
        <f t="shared" si="15"/>
        <v>5</v>
      </c>
      <c r="V11" s="47">
        <v>7.1</v>
      </c>
      <c r="W11" s="48">
        <f t="shared" si="16"/>
        <v>6.7219408272505765</v>
      </c>
      <c r="X11" s="47">
        <v>5.8</v>
      </c>
      <c r="Y11" s="48">
        <f t="shared" si="3"/>
        <v>6.6205285262480764</v>
      </c>
      <c r="Z11" s="47">
        <v>8.3000000000000007</v>
      </c>
      <c r="AA11" s="48">
        <f t="shared" si="4"/>
        <v>9.0592597470279639</v>
      </c>
      <c r="AD11" s="29" t="s">
        <v>55</v>
      </c>
      <c r="AE11" s="29" t="s">
        <v>73</v>
      </c>
      <c r="AF11" s="29"/>
      <c r="AG11" s="29" t="s">
        <v>83</v>
      </c>
      <c r="AH11" s="29" t="s">
        <v>83</v>
      </c>
    </row>
    <row r="12" spans="1:34" x14ac:dyDescent="0.3">
      <c r="C12" s="31">
        <v>6</v>
      </c>
      <c r="D12" s="57">
        <v>-1.3962927128950786</v>
      </c>
      <c r="E12" s="32">
        <v>-3.7187577841274688E-2</v>
      </c>
      <c r="F12" s="32">
        <v>-2.6317123365992647</v>
      </c>
      <c r="G12" s="32">
        <v>-4.1013761677735427</v>
      </c>
      <c r="I12" s="6">
        <f t="shared" si="5"/>
        <v>-0.52034777186013192</v>
      </c>
      <c r="J12" s="6">
        <f t="shared" si="6"/>
        <v>-1.4421658505805763</v>
      </c>
      <c r="K12" s="6">
        <f t="shared" si="7"/>
        <v>1.008389250478487</v>
      </c>
      <c r="M12" s="34">
        <f t="shared" si="8"/>
        <v>0.12956659519317285</v>
      </c>
      <c r="N12" s="34">
        <f t="shared" si="9"/>
        <v>0.35909929679456348</v>
      </c>
      <c r="O12" s="34">
        <f t="shared" si="10"/>
        <v>-0.25108892336914329</v>
      </c>
      <c r="Q12" s="35">
        <f t="shared" si="12"/>
        <v>0.50762576794259562</v>
      </c>
      <c r="R12" s="35">
        <f t="shared" si="13"/>
        <v>-0.46142922945351356</v>
      </c>
      <c r="S12" s="35">
        <f t="shared" si="14"/>
        <v>-1.0103486703971063</v>
      </c>
      <c r="U12" s="46">
        <f t="shared" si="15"/>
        <v>6</v>
      </c>
      <c r="V12" s="47">
        <v>7.4</v>
      </c>
      <c r="W12" s="48">
        <f t="shared" si="16"/>
        <v>6.8923742320574046</v>
      </c>
      <c r="X12" s="47">
        <v>5.7</v>
      </c>
      <c r="Y12" s="48">
        <f t="shared" si="3"/>
        <v>6.161429229453514</v>
      </c>
      <c r="Z12" s="47">
        <v>9.3000000000000007</v>
      </c>
      <c r="AA12" s="48">
        <f t="shared" si="4"/>
        <v>10.310348670397108</v>
      </c>
      <c r="AD12" s="29" t="s">
        <v>56</v>
      </c>
      <c r="AE12" s="29" t="s">
        <v>74</v>
      </c>
      <c r="AF12" s="29"/>
      <c r="AG12" s="29" t="s">
        <v>84</v>
      </c>
      <c r="AH12" s="29" t="s">
        <v>84</v>
      </c>
    </row>
    <row r="13" spans="1:34" x14ac:dyDescent="0.3">
      <c r="C13" s="31">
        <v>7</v>
      </c>
      <c r="D13" s="57">
        <v>-0.91463303900919879</v>
      </c>
      <c r="E13" s="32">
        <v>-0.16973256754538335</v>
      </c>
      <c r="F13" s="32">
        <v>-2.6457680798621839</v>
      </c>
      <c r="G13" s="32">
        <v>-3.9188855017917201</v>
      </c>
      <c r="I13" s="6">
        <f t="shared" si="5"/>
        <v>0.92130699538498273</v>
      </c>
      <c r="J13" s="6">
        <f t="shared" si="6"/>
        <v>0.74357312572319845</v>
      </c>
      <c r="K13" s="6">
        <f t="shared" si="7"/>
        <v>0.44875351185608581</v>
      </c>
      <c r="M13" s="34">
        <f t="shared" si="8"/>
        <v>-0.2294054418508607</v>
      </c>
      <c r="N13" s="34">
        <f t="shared" si="9"/>
        <v>-0.1851497083050764</v>
      </c>
      <c r="O13" s="34">
        <f t="shared" si="10"/>
        <v>-0.11173962445216537</v>
      </c>
      <c r="Q13" s="35">
        <f t="shared" si="12"/>
        <v>0.27822032609173492</v>
      </c>
      <c r="R13" s="35">
        <f t="shared" si="13"/>
        <v>-0.64657893775858999</v>
      </c>
      <c r="S13" s="35">
        <f t="shared" si="14"/>
        <v>-1.1220882948492716</v>
      </c>
      <c r="U13" s="46">
        <f t="shared" si="15"/>
        <v>7</v>
      </c>
      <c r="V13" s="47">
        <v>7.6</v>
      </c>
      <c r="W13" s="48">
        <f t="shared" si="16"/>
        <v>7.3217796739082646</v>
      </c>
      <c r="X13" s="47">
        <v>5.9</v>
      </c>
      <c r="Y13" s="48">
        <f t="shared" si="3"/>
        <v>6.5465789377585901</v>
      </c>
      <c r="Z13" s="47">
        <v>9.6</v>
      </c>
      <c r="AA13" s="48">
        <f t="shared" si="4"/>
        <v>10.722088294849272</v>
      </c>
      <c r="AD13" s="29" t="s">
        <v>57</v>
      </c>
      <c r="AG13" s="29" t="s">
        <v>85</v>
      </c>
      <c r="AH13" s="29" t="s">
        <v>85</v>
      </c>
    </row>
    <row r="14" spans="1:34" x14ac:dyDescent="0.3">
      <c r="C14" s="31">
        <v>8</v>
      </c>
      <c r="D14" s="57">
        <v>-1.1900965916470492</v>
      </c>
      <c r="E14" s="32">
        <v>-0.40787044372246228</v>
      </c>
      <c r="F14" s="32">
        <v>-2.5546046933562252</v>
      </c>
      <c r="G14" s="32">
        <v>-3.5226683933886158</v>
      </c>
      <c r="I14" s="6">
        <f t="shared" si="5"/>
        <v>-5.5988514691157176E-2</v>
      </c>
      <c r="J14" s="6">
        <f t="shared" si="6"/>
        <v>-0.54994040871571359</v>
      </c>
      <c r="K14" s="6">
        <f t="shared" si="7"/>
        <v>-1.007520991561432</v>
      </c>
      <c r="M14" s="34">
        <f t="shared" si="8"/>
        <v>1.3941140158098136E-2</v>
      </c>
      <c r="N14" s="34">
        <f t="shared" si="9"/>
        <v>0.13693516177021267</v>
      </c>
      <c r="O14" s="34">
        <f t="shared" si="10"/>
        <v>0.25087272689879658</v>
      </c>
      <c r="Q14" s="35">
        <f t="shared" si="12"/>
        <v>0.29216146624983308</v>
      </c>
      <c r="R14" s="35">
        <f t="shared" si="13"/>
        <v>-0.50964377598837729</v>
      </c>
      <c r="S14" s="35">
        <f t="shared" si="14"/>
        <v>-0.87121556795047506</v>
      </c>
      <c r="U14" s="46">
        <f t="shared" si="15"/>
        <v>8</v>
      </c>
      <c r="V14" s="47">
        <v>7.6</v>
      </c>
      <c r="W14" s="48">
        <f t="shared" si="16"/>
        <v>7.3078385337501661</v>
      </c>
      <c r="X14" s="47">
        <v>5.9</v>
      </c>
      <c r="Y14" s="48">
        <f t="shared" si="3"/>
        <v>6.4096437759883775</v>
      </c>
      <c r="Z14" s="47">
        <v>9.9</v>
      </c>
      <c r="AA14" s="48">
        <f t="shared" si="4"/>
        <v>10.771215567950476</v>
      </c>
      <c r="AD14" s="29" t="s">
        <v>58</v>
      </c>
      <c r="AG14" s="29" t="s">
        <v>86</v>
      </c>
      <c r="AH14" s="29" t="s">
        <v>86</v>
      </c>
    </row>
    <row r="15" spans="1:34" x14ac:dyDescent="0.3">
      <c r="C15" s="31">
        <v>9</v>
      </c>
      <c r="D15" s="57">
        <v>-0.92321146185046399</v>
      </c>
      <c r="E15" s="32">
        <v>-0.29860775924030136</v>
      </c>
      <c r="F15" s="32">
        <v>-3.1698478651158348</v>
      </c>
      <c r="G15" s="32">
        <v>-3.8002743678198061</v>
      </c>
      <c r="I15" s="6">
        <f t="shared" si="5"/>
        <v>0.2364336679716364</v>
      </c>
      <c r="J15" s="6">
        <f t="shared" si="6"/>
        <v>1.3231924523342922</v>
      </c>
      <c r="K15" s="6">
        <f t="shared" si="7"/>
        <v>0.81673665634166315</v>
      </c>
      <c r="M15" s="34">
        <f t="shared" si="8"/>
        <v>-5.8871983324937462E-2</v>
      </c>
      <c r="N15" s="34">
        <f t="shared" si="9"/>
        <v>-0.32947492063123873</v>
      </c>
      <c r="O15" s="34">
        <f t="shared" si="10"/>
        <v>-0.20336742742907413</v>
      </c>
      <c r="Q15" s="35">
        <f t="shared" si="12"/>
        <v>0.23328948292489562</v>
      </c>
      <c r="R15" s="35">
        <f t="shared" si="13"/>
        <v>-0.83911869661961602</v>
      </c>
      <c r="S15" s="35">
        <f t="shared" si="14"/>
        <v>-1.0745829953795492</v>
      </c>
      <c r="U15" s="46">
        <f t="shared" si="15"/>
        <v>9</v>
      </c>
      <c r="V15" s="47">
        <v>7.4</v>
      </c>
      <c r="W15" s="48">
        <f t="shared" si="16"/>
        <v>7.1667105170751046</v>
      </c>
      <c r="X15" s="47">
        <v>6.1</v>
      </c>
      <c r="Y15" s="48">
        <f t="shared" si="3"/>
        <v>6.9391186966196159</v>
      </c>
      <c r="Z15" s="47">
        <v>9.8000000000000007</v>
      </c>
      <c r="AA15" s="48">
        <f t="shared" si="4"/>
        <v>10.87458299537955</v>
      </c>
      <c r="AD15" s="29" t="s">
        <v>59</v>
      </c>
      <c r="AG15" s="29" t="s">
        <v>87</v>
      </c>
      <c r="AH15" s="29" t="s">
        <v>87</v>
      </c>
    </row>
    <row r="16" spans="1:34" x14ac:dyDescent="0.3">
      <c r="C16" s="31">
        <v>10</v>
      </c>
      <c r="D16" s="57">
        <v>-1.0890958730605147</v>
      </c>
      <c r="E16" s="32">
        <v>-0.38079440424677191</v>
      </c>
      <c r="F16" s="32">
        <v>-4.11032127712555</v>
      </c>
      <c r="G16" s="32">
        <v>-3.8426866035364484</v>
      </c>
      <c r="I16" s="6">
        <f t="shared" si="5"/>
        <v>-0.12554664930537024</v>
      </c>
      <c r="J16" s="6">
        <f t="shared" si="6"/>
        <v>1.1618835011994966</v>
      </c>
      <c r="K16" s="6">
        <f t="shared" si="7"/>
        <v>-0.18520826324011258</v>
      </c>
      <c r="M16" s="34">
        <f t="shared" si="8"/>
        <v>3.1261115677037189E-2</v>
      </c>
      <c r="N16" s="34">
        <f t="shared" si="9"/>
        <v>-0.28930899179867464</v>
      </c>
      <c r="O16" s="34">
        <f t="shared" si="10"/>
        <v>4.6116857546788036E-2</v>
      </c>
      <c r="Q16" s="35">
        <f t="shared" si="12"/>
        <v>0.26455059860193281</v>
      </c>
      <c r="R16" s="35">
        <f t="shared" si="13"/>
        <v>-1.1284276884182907</v>
      </c>
      <c r="S16" s="35">
        <f t="shared" si="14"/>
        <v>-1.0284661378327611</v>
      </c>
      <c r="U16" s="46">
        <f t="shared" si="15"/>
        <v>10</v>
      </c>
      <c r="V16" s="47">
        <v>7.1</v>
      </c>
      <c r="W16" s="48">
        <f t="shared" si="16"/>
        <v>6.8354494013980664</v>
      </c>
      <c r="X16" s="47">
        <v>6.1</v>
      </c>
      <c r="Y16" s="48">
        <f t="shared" si="3"/>
        <v>7.2284276884182903</v>
      </c>
      <c r="Z16" s="47">
        <v>9.6</v>
      </c>
      <c r="AA16" s="48">
        <f t="shared" si="4"/>
        <v>10.62846613783276</v>
      </c>
      <c r="AD16" s="29" t="s">
        <v>60</v>
      </c>
      <c r="AG16" s="29" t="s">
        <v>88</v>
      </c>
      <c r="AH16" s="29" t="s">
        <v>88</v>
      </c>
    </row>
    <row r="17" spans="3:34" x14ac:dyDescent="0.3">
      <c r="C17" s="31">
        <v>11</v>
      </c>
      <c r="D17" s="57">
        <v>-0.94804017760359272</v>
      </c>
      <c r="E17" s="32">
        <v>0.2609286679561702</v>
      </c>
      <c r="F17" s="32">
        <v>-3.5599100554858052</v>
      </c>
      <c r="G17" s="32">
        <v>-3.7376744052127253</v>
      </c>
      <c r="I17" s="6">
        <f t="shared" si="5"/>
        <v>-0.7510010651190302</v>
      </c>
      <c r="J17" s="6">
        <f t="shared" si="6"/>
        <v>-0.61403328927423417</v>
      </c>
      <c r="K17" s="6">
        <f t="shared" si="7"/>
        <v>5.4065245699798314E-2</v>
      </c>
      <c r="M17" s="34">
        <f t="shared" si="8"/>
        <v>0.18699926521463853</v>
      </c>
      <c r="N17" s="34">
        <f t="shared" si="9"/>
        <v>0.15289428902928431</v>
      </c>
      <c r="O17" s="34">
        <f t="shared" si="10"/>
        <v>-1.3462246179249781E-2</v>
      </c>
      <c r="Q17" s="35">
        <f t="shared" si="12"/>
        <v>0.45154986381657136</v>
      </c>
      <c r="R17" s="35">
        <f t="shared" si="13"/>
        <v>-0.97553339938900629</v>
      </c>
      <c r="S17" s="35">
        <f t="shared" si="14"/>
        <v>-1.0419283840120108</v>
      </c>
      <c r="U17" s="46">
        <f t="shared" si="15"/>
        <v>11</v>
      </c>
      <c r="V17" s="47">
        <v>7.1</v>
      </c>
      <c r="W17" s="48">
        <f t="shared" si="16"/>
        <v>6.6484501361834285</v>
      </c>
      <c r="X17" s="47">
        <v>5.8</v>
      </c>
      <c r="Y17" s="48">
        <f t="shared" si="3"/>
        <v>6.7755333993890066</v>
      </c>
      <c r="Z17" s="47">
        <v>9.5</v>
      </c>
      <c r="AA17" s="48">
        <f t="shared" si="4"/>
        <v>10.54192838401201</v>
      </c>
      <c r="AD17" s="29" t="s">
        <v>61</v>
      </c>
      <c r="AG17" s="29" t="s">
        <v>55</v>
      </c>
      <c r="AH17" s="29" t="s">
        <v>55</v>
      </c>
    </row>
    <row r="18" spans="3:34" x14ac:dyDescent="0.3">
      <c r="C18" s="31">
        <v>12</v>
      </c>
      <c r="D18" s="57">
        <v>-1.3270913614849165</v>
      </c>
      <c r="E18" s="32">
        <v>0.20988284909810417</v>
      </c>
      <c r="F18" s="32">
        <v>-3.8310694953529918</v>
      </c>
      <c r="G18" s="32">
        <v>-3.652666696224808</v>
      </c>
      <c r="I18" s="6">
        <f t="shared" si="5"/>
        <v>-0.49200804753488658</v>
      </c>
      <c r="J18" s="6">
        <f t="shared" si="6"/>
        <v>-0.16183761602120572</v>
      </c>
      <c r="K18" s="6">
        <f t="shared" si="7"/>
        <v>-0.6960883393038616</v>
      </c>
      <c r="M18" s="34">
        <f t="shared" si="8"/>
        <v>0.12251000383618676</v>
      </c>
      <c r="N18" s="34">
        <f t="shared" si="9"/>
        <v>4.0297566389280226E-2</v>
      </c>
      <c r="O18" s="34">
        <f t="shared" si="10"/>
        <v>0.17332599648666153</v>
      </c>
      <c r="Q18" s="35">
        <f t="shared" si="12"/>
        <v>0.57405986765275818</v>
      </c>
      <c r="R18" s="35">
        <f t="shared" si="13"/>
        <v>-0.93523583299972612</v>
      </c>
      <c r="S18" s="35">
        <f t="shared" si="14"/>
        <v>-0.86860238752534924</v>
      </c>
      <c r="U18" s="46">
        <f t="shared" si="15"/>
        <v>12</v>
      </c>
      <c r="V18" s="47">
        <v>6.8</v>
      </c>
      <c r="W18" s="48">
        <f t="shared" si="16"/>
        <v>6.2259401323472421</v>
      </c>
      <c r="X18" s="47">
        <v>5.7</v>
      </c>
      <c r="Y18" s="48">
        <f t="shared" si="3"/>
        <v>6.6352358329997259</v>
      </c>
      <c r="Z18" s="47">
        <v>9.5</v>
      </c>
      <c r="AA18" s="48">
        <f t="shared" si="4"/>
        <v>10.36860238752535</v>
      </c>
      <c r="AD18" s="29" t="s">
        <v>62</v>
      </c>
      <c r="AG18" s="29" t="s">
        <v>89</v>
      </c>
      <c r="AH18" s="29" t="s">
        <v>89</v>
      </c>
    </row>
    <row r="19" spans="3:34" x14ac:dyDescent="0.3">
      <c r="C19" s="31">
        <v>13</v>
      </c>
      <c r="D19" s="57">
        <v>-1.1927150226523362</v>
      </c>
      <c r="E19" s="32">
        <v>0.56603869658358619</v>
      </c>
      <c r="F19" s="32">
        <v>-3.6420630970000669</v>
      </c>
      <c r="G19" s="32">
        <v>-3.1351571921278025</v>
      </c>
      <c r="I19" s="6">
        <f t="shared" si="5"/>
        <v>-0.33266926297935262</v>
      </c>
      <c r="J19" s="6">
        <f t="shared" si="6"/>
        <v>-8.1945089280516914E-2</v>
      </c>
      <c r="K19" s="6">
        <f t="shared" si="7"/>
        <v>-0.5746997478966378</v>
      </c>
      <c r="M19" s="34">
        <f t="shared" si="8"/>
        <v>8.2834646481858801E-2</v>
      </c>
      <c r="N19" s="34">
        <f t="shared" si="9"/>
        <v>2.0404327230848712E-2</v>
      </c>
      <c r="O19" s="34">
        <f t="shared" si="10"/>
        <v>0.14310023722626281</v>
      </c>
      <c r="Q19" s="35">
        <f t="shared" si="12"/>
        <v>0.65689451413461697</v>
      </c>
      <c r="R19" s="35">
        <f t="shared" si="13"/>
        <v>-0.9148315057688774</v>
      </c>
      <c r="S19" s="35">
        <f t="shared" si="14"/>
        <v>-0.72550215029908638</v>
      </c>
      <c r="U19" s="46">
        <f t="shared" si="15"/>
        <v>13</v>
      </c>
      <c r="V19" s="47">
        <v>6.6</v>
      </c>
      <c r="W19" s="48">
        <f t="shared" si="16"/>
        <v>5.9431054858653827</v>
      </c>
      <c r="X19" s="47">
        <v>5.6</v>
      </c>
      <c r="Y19" s="48">
        <f t="shared" si="3"/>
        <v>6.5148315057688766</v>
      </c>
      <c r="Z19" s="47">
        <v>9</v>
      </c>
      <c r="AA19" s="48">
        <f t="shared" si="4"/>
        <v>9.7255021502990857</v>
      </c>
      <c r="AF19" s="26"/>
      <c r="AG19" s="29" t="s">
        <v>90</v>
      </c>
      <c r="AH19" s="29" t="s">
        <v>90</v>
      </c>
    </row>
    <row r="20" spans="3:34" x14ac:dyDescent="0.3">
      <c r="C20" s="31">
        <v>14</v>
      </c>
      <c r="D20" s="57">
        <v>-0.99203338753891768</v>
      </c>
      <c r="E20" s="32">
        <v>0.7211623032693506</v>
      </c>
      <c r="F20" s="32">
        <v>-3.4936292930829747</v>
      </c>
      <c r="G20" s="32">
        <v>-3.5630644907386526</v>
      </c>
      <c r="I20" s="6">
        <f t="shared" si="5"/>
        <v>6.833704264148116E-2</v>
      </c>
      <c r="J20" s="6">
        <f t="shared" si="6"/>
        <v>7.8371746794489383E-2</v>
      </c>
      <c r="K20" s="6">
        <f t="shared" si="7"/>
        <v>0.94288340058640285</v>
      </c>
      <c r="M20" s="34">
        <f t="shared" si="8"/>
        <v>-1.7015923617728808E-2</v>
      </c>
      <c r="N20" s="34">
        <f t="shared" si="9"/>
        <v>-1.9514564951827858E-2</v>
      </c>
      <c r="O20" s="34">
        <f t="shared" si="10"/>
        <v>-0.23477796674601431</v>
      </c>
      <c r="Q20" s="35">
        <f t="shared" si="12"/>
        <v>0.63987859051688811</v>
      </c>
      <c r="R20" s="35">
        <f t="shared" si="13"/>
        <v>-0.9343460707207053</v>
      </c>
      <c r="S20" s="35">
        <f t="shared" si="14"/>
        <v>-0.96028011704510075</v>
      </c>
      <c r="U20" s="46">
        <f t="shared" si="15"/>
        <v>14</v>
      </c>
      <c r="V20" s="47">
        <v>6.6</v>
      </c>
      <c r="W20" s="48">
        <f t="shared" si="16"/>
        <v>5.9601214094831114</v>
      </c>
      <c r="X20" s="47">
        <v>5.4</v>
      </c>
      <c r="Y20" s="48">
        <f t="shared" si="3"/>
        <v>6.3343460707207058</v>
      </c>
      <c r="Z20" s="47">
        <v>9</v>
      </c>
      <c r="AA20" s="48">
        <f t="shared" si="4"/>
        <v>9.9602801170451016</v>
      </c>
      <c r="AC20" s="29" t="s">
        <v>63</v>
      </c>
      <c r="AD20" s="29" t="s">
        <v>91</v>
      </c>
      <c r="AE20" s="29" t="s">
        <v>92</v>
      </c>
      <c r="AF20" s="29" t="s">
        <v>94</v>
      </c>
      <c r="AG20" s="29" t="s">
        <v>93</v>
      </c>
    </row>
    <row r="21" spans="3:34" x14ac:dyDescent="0.3">
      <c r="C21" s="31">
        <v>15</v>
      </c>
      <c r="D21" s="57">
        <v>-1.4573277045083717</v>
      </c>
      <c r="E21" s="32">
        <v>1.0065543085515678</v>
      </c>
      <c r="F21" s="32">
        <v>-3.5327016586186191</v>
      </c>
      <c r="G21" s="32">
        <v>-3.0206585469003637</v>
      </c>
      <c r="I21" s="6">
        <f t="shared" si="5"/>
        <v>-1.1260294833775069</v>
      </c>
      <c r="J21" s="6">
        <f t="shared" si="6"/>
        <v>-0.63933292715071444</v>
      </c>
      <c r="K21" s="6">
        <f t="shared" si="7"/>
        <v>-1.5115503912116142</v>
      </c>
      <c r="M21" s="34">
        <f t="shared" si="8"/>
        <v>0.28038134136099918</v>
      </c>
      <c r="N21" s="34">
        <f t="shared" si="9"/>
        <v>0.1591938988605279</v>
      </c>
      <c r="O21" s="34">
        <f t="shared" si="10"/>
        <v>0.37637604741169195</v>
      </c>
      <c r="Q21" s="35">
        <f t="shared" si="12"/>
        <v>0.92025993187788724</v>
      </c>
      <c r="R21" s="35">
        <f t="shared" si="13"/>
        <v>-0.77515217186017737</v>
      </c>
      <c r="S21" s="35">
        <f t="shared" si="14"/>
        <v>-0.5839040696334088</v>
      </c>
      <c r="U21" s="46">
        <f t="shared" si="15"/>
        <v>15</v>
      </c>
      <c r="V21" s="47">
        <v>6.2</v>
      </c>
      <c r="W21" s="48">
        <f t="shared" si="16"/>
        <v>5.2797400681221127</v>
      </c>
      <c r="X21" s="47">
        <v>5.4</v>
      </c>
      <c r="Y21" s="48">
        <f t="shared" si="3"/>
        <v>6.1751521718601774</v>
      </c>
      <c r="Z21" s="47">
        <v>9</v>
      </c>
      <c r="AA21" s="48">
        <f t="shared" si="4"/>
        <v>9.5839040696334088</v>
      </c>
      <c r="AC21" s="1">
        <v>17899</v>
      </c>
      <c r="AD21" s="2">
        <v>-27.7</v>
      </c>
      <c r="AE21" s="2">
        <v>1867</v>
      </c>
      <c r="AF21" s="2">
        <f>100*AD21/AE21</f>
        <v>-1.4836636314943761</v>
      </c>
      <c r="AG21" s="2">
        <v>0.9</v>
      </c>
    </row>
    <row r="22" spans="3:34" x14ac:dyDescent="0.3">
      <c r="C22" s="31">
        <v>16</v>
      </c>
      <c r="D22" s="57">
        <v>-1.568529907269371</v>
      </c>
      <c r="E22" s="32">
        <v>0.73862280950056114</v>
      </c>
      <c r="F22" s="32">
        <v>-3.0583841747180065</v>
      </c>
      <c r="G22" s="32">
        <v>-2.8308486764471081</v>
      </c>
      <c r="I22" s="6">
        <f t="shared" si="5"/>
        <v>0.23509394443501097</v>
      </c>
      <c r="J22" s="6">
        <f t="shared" si="6"/>
        <v>-0.87827952999241787</v>
      </c>
      <c r="K22" s="6">
        <f t="shared" si="7"/>
        <v>-0.45151810982138241</v>
      </c>
      <c r="M22" s="34">
        <f t="shared" si="8"/>
        <v>-5.8538392164317735E-2</v>
      </c>
      <c r="N22" s="34">
        <f t="shared" si="9"/>
        <v>0.21869160296811205</v>
      </c>
      <c r="O22" s="34">
        <f t="shared" si="10"/>
        <v>0.11242800934552422</v>
      </c>
      <c r="Q22" s="35">
        <f t="shared" si="12"/>
        <v>0.86172153971356946</v>
      </c>
      <c r="R22" s="35">
        <f t="shared" si="13"/>
        <v>-0.5564605688920653</v>
      </c>
      <c r="S22" s="35">
        <f t="shared" si="14"/>
        <v>-0.47147606028788458</v>
      </c>
      <c r="U22" s="46">
        <f t="shared" si="15"/>
        <v>16</v>
      </c>
      <c r="V22" s="47">
        <v>6</v>
      </c>
      <c r="W22" s="48">
        <f t="shared" si="16"/>
        <v>5.1382784602864309</v>
      </c>
      <c r="X22" s="47">
        <v>5.3</v>
      </c>
      <c r="Y22" s="48">
        <f t="shared" si="3"/>
        <v>5.8564605688920652</v>
      </c>
      <c r="Z22" s="47">
        <v>8.6999999999999993</v>
      </c>
      <c r="AA22" s="48">
        <f t="shared" si="4"/>
        <v>9.1714760602878833</v>
      </c>
      <c r="AC22" s="1">
        <v>17989</v>
      </c>
      <c r="AD22" s="2">
        <v>-6.8</v>
      </c>
      <c r="AE22" s="2">
        <v>1885.3</v>
      </c>
      <c r="AF22" s="2">
        <f t="shared" ref="AF22:AF85" si="17">100*AD22/AE22</f>
        <v>-0.36068530207394051</v>
      </c>
      <c r="AG22" s="2">
        <v>1.2</v>
      </c>
    </row>
    <row r="23" spans="3:34" x14ac:dyDescent="0.3">
      <c r="U23" s="46"/>
      <c r="V23" s="47">
        <v>5.6</v>
      </c>
      <c r="W23" s="46"/>
      <c r="X23" s="47">
        <v>5.0999999999999996</v>
      </c>
      <c r="Y23" s="46"/>
      <c r="Z23" s="47">
        <v>8.3000000000000007</v>
      </c>
      <c r="AA23" s="46"/>
      <c r="AC23" s="1">
        <v>18080</v>
      </c>
      <c r="AD23" s="2">
        <v>22</v>
      </c>
      <c r="AE23" s="2">
        <v>1903.9</v>
      </c>
      <c r="AF23" s="2">
        <f t="shared" si="17"/>
        <v>1.1555228741005303</v>
      </c>
      <c r="AG23" s="2">
        <v>0.8</v>
      </c>
    </row>
    <row r="24" spans="3:34" x14ac:dyDescent="0.3">
      <c r="U24" s="46"/>
      <c r="V24" s="47">
        <v>5.5</v>
      </c>
      <c r="W24" s="46"/>
      <c r="X24" s="46"/>
      <c r="Y24" s="46"/>
      <c r="Z24" s="47">
        <v>8.1999999999999993</v>
      </c>
      <c r="AA24" s="46"/>
      <c r="AC24" s="1">
        <v>18172</v>
      </c>
      <c r="AD24" s="2">
        <v>-18.100000000000001</v>
      </c>
      <c r="AE24" s="2">
        <v>1922.9</v>
      </c>
      <c r="AF24" s="2">
        <f t="shared" si="17"/>
        <v>-0.94128659836704986</v>
      </c>
      <c r="AG24" s="2">
        <v>0.3</v>
      </c>
    </row>
    <row r="25" spans="3:34" x14ac:dyDescent="0.3">
      <c r="U25" s="46"/>
      <c r="V25" s="47">
        <v>5.7</v>
      </c>
      <c r="W25" s="46"/>
      <c r="X25" s="46"/>
      <c r="Y25" s="46"/>
      <c r="Z25" s="47">
        <v>8</v>
      </c>
      <c r="AA25" s="46"/>
      <c r="AC25" s="1">
        <v>18264</v>
      </c>
      <c r="AD25" s="2">
        <v>79.8</v>
      </c>
      <c r="AE25" s="2">
        <v>1942.5</v>
      </c>
      <c r="AF25" s="2">
        <f t="shared" si="17"/>
        <v>4.1081081081081079</v>
      </c>
      <c r="AG25" s="2">
        <v>-0.6</v>
      </c>
    </row>
    <row r="26" spans="3:34" x14ac:dyDescent="0.3">
      <c r="U26" s="46"/>
      <c r="V26" s="47">
        <v>5.7</v>
      </c>
      <c r="W26" s="46"/>
      <c r="X26" s="46"/>
      <c r="Y26" s="46"/>
      <c r="Z26" s="47">
        <v>7.8</v>
      </c>
      <c r="AA26" s="46"/>
      <c r="AC26" s="1">
        <v>18354</v>
      </c>
      <c r="AD26" s="2">
        <v>63</v>
      </c>
      <c r="AE26" s="2">
        <v>1962.9</v>
      </c>
      <c r="AF26" s="2">
        <f t="shared" si="17"/>
        <v>3.209536909674461</v>
      </c>
      <c r="AG26" s="2">
        <v>-0.8</v>
      </c>
    </row>
    <row r="27" spans="3:34" x14ac:dyDescent="0.3">
      <c r="U27" s="46"/>
      <c r="V27" s="46"/>
      <c r="W27" s="46"/>
      <c r="X27" s="46"/>
      <c r="Y27" s="46"/>
      <c r="Z27" s="47">
        <v>7.7</v>
      </c>
      <c r="AA27" s="46"/>
      <c r="AC27" s="1">
        <v>18445</v>
      </c>
      <c r="AD27" s="2">
        <v>82.7</v>
      </c>
      <c r="AE27" s="2">
        <v>1984.1</v>
      </c>
      <c r="AF27" s="2">
        <f t="shared" si="17"/>
        <v>4.1681366866589391</v>
      </c>
      <c r="AG27" s="2">
        <v>-1</v>
      </c>
    </row>
    <row r="28" spans="3:34" x14ac:dyDescent="0.3">
      <c r="U28" s="46"/>
      <c r="V28" s="46"/>
      <c r="W28" s="46"/>
      <c r="X28" s="46"/>
      <c r="Y28" s="46"/>
      <c r="Z28" s="47">
        <v>7.6</v>
      </c>
      <c r="AA28" s="46"/>
      <c r="AC28" s="1">
        <v>18537</v>
      </c>
      <c r="AD28" s="2">
        <v>43</v>
      </c>
      <c r="AE28" s="2">
        <v>2006</v>
      </c>
      <c r="AF28" s="2">
        <f t="shared" si="17"/>
        <v>2.1435692921236291</v>
      </c>
      <c r="AG28" s="2">
        <v>-0.4</v>
      </c>
    </row>
    <row r="29" spans="3:34" x14ac:dyDescent="0.3">
      <c r="AC29" s="1">
        <v>18629</v>
      </c>
      <c r="AD29" s="2">
        <v>31.1</v>
      </c>
      <c r="AE29" s="2">
        <v>2029.1</v>
      </c>
      <c r="AF29" s="2">
        <f t="shared" si="17"/>
        <v>1.5326992262579469</v>
      </c>
      <c r="AG29" s="2">
        <v>-0.7</v>
      </c>
    </row>
    <row r="30" spans="3:34" x14ac:dyDescent="0.3">
      <c r="R30" s="35">
        <v>1990</v>
      </c>
      <c r="AC30" s="1">
        <v>18719</v>
      </c>
      <c r="AD30" s="2">
        <v>40</v>
      </c>
      <c r="AE30" s="2">
        <v>2053.4</v>
      </c>
      <c r="AF30" s="2">
        <f t="shared" si="17"/>
        <v>1.9479887016655302</v>
      </c>
      <c r="AG30" s="2">
        <v>-0.4</v>
      </c>
    </row>
    <row r="31" spans="3:34" x14ac:dyDescent="0.3">
      <c r="AC31" s="1">
        <v>18810</v>
      </c>
      <c r="AD31" s="2">
        <v>48.2</v>
      </c>
      <c r="AE31" s="2">
        <v>2078.3000000000002</v>
      </c>
      <c r="AF31" s="2">
        <f t="shared" si="17"/>
        <v>2.319203194918924</v>
      </c>
      <c r="AG31" s="2">
        <v>0.1</v>
      </c>
    </row>
    <row r="32" spans="3:34" x14ac:dyDescent="0.3">
      <c r="AC32" s="1">
        <v>18902</v>
      </c>
      <c r="AD32" s="2">
        <v>5.3</v>
      </c>
      <c r="AE32" s="2">
        <v>2103.4</v>
      </c>
      <c r="AF32" s="2">
        <f t="shared" si="17"/>
        <v>0.25197299610154988</v>
      </c>
      <c r="AG32" s="2">
        <v>0.2</v>
      </c>
    </row>
    <row r="33" spans="18:33" x14ac:dyDescent="0.3">
      <c r="AC33" s="1">
        <v>18994</v>
      </c>
      <c r="AD33" s="2">
        <v>25.3</v>
      </c>
      <c r="AE33" s="2">
        <v>2128.4</v>
      </c>
      <c r="AF33" s="2">
        <f t="shared" si="17"/>
        <v>1.1886863371546701</v>
      </c>
      <c r="AG33" s="2">
        <v>-0.3</v>
      </c>
    </row>
    <row r="34" spans="18:33" x14ac:dyDescent="0.3">
      <c r="AC34" s="1">
        <v>19085</v>
      </c>
      <c r="AD34" s="2">
        <v>5.0999999999999996</v>
      </c>
      <c r="AE34" s="2">
        <v>2153.1</v>
      </c>
      <c r="AF34" s="2">
        <f t="shared" si="17"/>
        <v>0.23686777204960288</v>
      </c>
      <c r="AG34" s="2">
        <v>-0.1</v>
      </c>
    </row>
    <row r="35" spans="18:33" x14ac:dyDescent="0.3">
      <c r="AC35" s="1">
        <v>19176</v>
      </c>
      <c r="AD35" s="2">
        <v>17.5</v>
      </c>
      <c r="AE35" s="2">
        <v>2177.3000000000002</v>
      </c>
      <c r="AF35" s="2">
        <f t="shared" si="17"/>
        <v>0.80374776098838008</v>
      </c>
      <c r="AG35" s="2">
        <v>0.2</v>
      </c>
    </row>
    <row r="36" spans="18:33" x14ac:dyDescent="0.3">
      <c r="AC36" s="1">
        <v>19268</v>
      </c>
      <c r="AD36" s="2">
        <v>80.2</v>
      </c>
      <c r="AE36" s="2">
        <v>2200.9</v>
      </c>
      <c r="AF36" s="2">
        <f t="shared" si="17"/>
        <v>3.643963832977418</v>
      </c>
      <c r="AG36" s="2">
        <v>-0.4</v>
      </c>
    </row>
    <row r="37" spans="18:33" x14ac:dyDescent="0.3">
      <c r="AC37" s="1">
        <v>19360</v>
      </c>
      <c r="AD37" s="2">
        <v>47</v>
      </c>
      <c r="AE37" s="2">
        <v>2223.1999999999998</v>
      </c>
      <c r="AF37" s="2">
        <f t="shared" si="17"/>
        <v>2.1140698092839152</v>
      </c>
      <c r="AG37" s="2">
        <v>-0.1</v>
      </c>
    </row>
    <row r="38" spans="18:33" x14ac:dyDescent="0.3">
      <c r="AC38" s="1">
        <v>19450</v>
      </c>
      <c r="AD38" s="2">
        <v>20.100000000000001</v>
      </c>
      <c r="AE38" s="2">
        <v>2244.5</v>
      </c>
      <c r="AF38" s="2">
        <f t="shared" si="17"/>
        <v>0.89552238805970164</v>
      </c>
      <c r="AG38" s="2">
        <v>-0.1</v>
      </c>
    </row>
    <row r="39" spans="18:33" x14ac:dyDescent="0.3">
      <c r="AC39" s="1">
        <v>19541</v>
      </c>
      <c r="AD39" s="2">
        <v>-14.6</v>
      </c>
      <c r="AE39" s="2">
        <v>2265</v>
      </c>
      <c r="AF39" s="2">
        <f t="shared" si="17"/>
        <v>-0.64459161147902866</v>
      </c>
      <c r="AG39" s="2">
        <v>0.1</v>
      </c>
    </row>
    <row r="40" spans="18:33" x14ac:dyDescent="0.3">
      <c r="AC40" s="1">
        <v>19633</v>
      </c>
      <c r="AD40" s="2">
        <v>-39.1</v>
      </c>
      <c r="AE40" s="2">
        <v>2284.8000000000002</v>
      </c>
      <c r="AF40" s="2">
        <f t="shared" si="17"/>
        <v>-1.7113095238095237</v>
      </c>
      <c r="AG40" s="2">
        <v>1</v>
      </c>
    </row>
    <row r="41" spans="18:33" x14ac:dyDescent="0.3">
      <c r="AC41" s="1">
        <v>19725</v>
      </c>
      <c r="AD41" s="2">
        <v>-11.7</v>
      </c>
      <c r="AE41" s="2">
        <v>2303.9</v>
      </c>
      <c r="AF41" s="2">
        <f t="shared" si="17"/>
        <v>-0.50783454142974949</v>
      </c>
      <c r="AG41" s="2">
        <v>1.6</v>
      </c>
    </row>
    <row r="42" spans="18:33" x14ac:dyDescent="0.3">
      <c r="R42" s="35">
        <v>2001</v>
      </c>
      <c r="AC42" s="1">
        <v>19815</v>
      </c>
      <c r="AD42" s="2">
        <v>2.7</v>
      </c>
      <c r="AE42" s="2">
        <v>2322</v>
      </c>
      <c r="AF42" s="2">
        <f t="shared" si="17"/>
        <v>0.11627906976744186</v>
      </c>
      <c r="AG42" s="2">
        <v>0.5</v>
      </c>
    </row>
    <row r="43" spans="18:33" x14ac:dyDescent="0.3">
      <c r="AC43" s="1">
        <v>19906</v>
      </c>
      <c r="AD43" s="2">
        <v>28.6</v>
      </c>
      <c r="AE43" s="2">
        <v>2339.6</v>
      </c>
      <c r="AF43" s="2">
        <f t="shared" si="17"/>
        <v>1.2224311848179177</v>
      </c>
      <c r="AG43" s="2">
        <v>0.2</v>
      </c>
    </row>
    <row r="44" spans="18:33" x14ac:dyDescent="0.3">
      <c r="AC44" s="1">
        <v>19998</v>
      </c>
      <c r="AD44" s="2">
        <v>49.9</v>
      </c>
      <c r="AE44" s="2">
        <v>2357.1</v>
      </c>
      <c r="AF44" s="2">
        <f t="shared" si="17"/>
        <v>2.1170081880276612</v>
      </c>
      <c r="AG44" s="2">
        <v>-0.7</v>
      </c>
    </row>
    <row r="45" spans="18:33" x14ac:dyDescent="0.3">
      <c r="AC45" s="1">
        <v>20090</v>
      </c>
      <c r="AD45" s="2">
        <v>74.400000000000006</v>
      </c>
      <c r="AE45" s="2">
        <v>2374.9</v>
      </c>
      <c r="AF45" s="2">
        <f t="shared" si="17"/>
        <v>3.1327634847783066</v>
      </c>
      <c r="AG45" s="2">
        <v>-0.6</v>
      </c>
    </row>
    <row r="46" spans="18:33" x14ac:dyDescent="0.3">
      <c r="AC46" s="1">
        <v>20180</v>
      </c>
      <c r="AD46" s="2">
        <v>43.6</v>
      </c>
      <c r="AE46" s="2">
        <v>2393.1</v>
      </c>
      <c r="AF46" s="2">
        <f t="shared" si="17"/>
        <v>1.8219046425138943</v>
      </c>
      <c r="AG46" s="2">
        <v>-0.3</v>
      </c>
    </row>
    <row r="47" spans="18:33" x14ac:dyDescent="0.3">
      <c r="AC47" s="1">
        <v>20271</v>
      </c>
      <c r="AD47" s="2">
        <v>36.700000000000003</v>
      </c>
      <c r="AE47" s="2">
        <v>2411.8000000000002</v>
      </c>
      <c r="AF47" s="2">
        <f t="shared" si="17"/>
        <v>1.5216850485114852</v>
      </c>
      <c r="AG47" s="2">
        <v>-0.3</v>
      </c>
    </row>
    <row r="48" spans="18:33" x14ac:dyDescent="0.3">
      <c r="AC48" s="1">
        <v>20363</v>
      </c>
      <c r="AD48" s="2">
        <v>16.600000000000001</v>
      </c>
      <c r="AE48" s="2">
        <v>2430.9</v>
      </c>
      <c r="AF48" s="2">
        <f t="shared" si="17"/>
        <v>0.68287465547739523</v>
      </c>
      <c r="AG48" s="2">
        <v>0.1</v>
      </c>
    </row>
    <row r="49" spans="18:33" x14ac:dyDescent="0.3">
      <c r="AC49" s="1">
        <v>20455</v>
      </c>
      <c r="AD49" s="2">
        <v>-10.7</v>
      </c>
      <c r="AE49" s="2">
        <v>2451.1999999999998</v>
      </c>
      <c r="AF49" s="2">
        <f t="shared" si="17"/>
        <v>-0.43652088772845954</v>
      </c>
      <c r="AG49" s="2">
        <v>-0.2</v>
      </c>
    </row>
    <row r="50" spans="18:33" x14ac:dyDescent="0.3">
      <c r="AC50" s="1">
        <v>20546</v>
      </c>
      <c r="AD50" s="2">
        <v>22.8</v>
      </c>
      <c r="AE50" s="2">
        <v>2472</v>
      </c>
      <c r="AF50" s="2">
        <f t="shared" si="17"/>
        <v>0.92233009708737868</v>
      </c>
      <c r="AG50" s="2">
        <v>0.2</v>
      </c>
    </row>
    <row r="51" spans="18:33" x14ac:dyDescent="0.3">
      <c r="AC51" s="1">
        <v>20637</v>
      </c>
      <c r="AD51" s="2">
        <v>-2.2999999999999998</v>
      </c>
      <c r="AE51" s="2">
        <v>2493.3000000000002</v>
      </c>
      <c r="AF51" s="2">
        <f t="shared" si="17"/>
        <v>-9.2247222556451278E-2</v>
      </c>
      <c r="AG51" s="2">
        <v>-0.1</v>
      </c>
    </row>
    <row r="52" spans="18:33" x14ac:dyDescent="0.3">
      <c r="AC52" s="1">
        <v>20729</v>
      </c>
      <c r="AD52" s="2">
        <v>45.6</v>
      </c>
      <c r="AE52" s="2">
        <v>2515.1999999999998</v>
      </c>
      <c r="AF52" s="2">
        <f t="shared" si="17"/>
        <v>1.8129770992366414</v>
      </c>
      <c r="AG52" s="2">
        <v>0</v>
      </c>
    </row>
    <row r="53" spans="18:33" x14ac:dyDescent="0.3">
      <c r="AC53" s="1">
        <v>20821</v>
      </c>
      <c r="AD53" s="2">
        <v>18.3</v>
      </c>
      <c r="AE53" s="2">
        <v>2537.3000000000002</v>
      </c>
      <c r="AF53" s="2">
        <f t="shared" si="17"/>
        <v>0.72123911244235994</v>
      </c>
      <c r="AG53" s="2">
        <v>-0.2</v>
      </c>
    </row>
    <row r="54" spans="18:33" x14ac:dyDescent="0.3">
      <c r="AC54" s="1">
        <v>20911</v>
      </c>
      <c r="AD54" s="2">
        <v>-6.3</v>
      </c>
      <c r="AE54" s="2">
        <v>2560.4</v>
      </c>
      <c r="AF54" s="2">
        <f t="shared" si="17"/>
        <v>-0.24605530385877206</v>
      </c>
      <c r="AG54" s="2">
        <v>0.2</v>
      </c>
    </row>
    <row r="55" spans="18:33" x14ac:dyDescent="0.3">
      <c r="AC55" s="1">
        <v>21002</v>
      </c>
      <c r="AD55" s="2">
        <v>27.7</v>
      </c>
      <c r="AE55" s="2">
        <v>2583.9</v>
      </c>
      <c r="AF55" s="2">
        <f t="shared" si="17"/>
        <v>1.0720229111033708</v>
      </c>
      <c r="AG55" s="2">
        <v>0.1</v>
      </c>
    </row>
    <row r="56" spans="18:33" x14ac:dyDescent="0.3">
      <c r="AC56" s="1">
        <v>21094</v>
      </c>
      <c r="AD56" s="2">
        <v>-29.5</v>
      </c>
      <c r="AE56" s="2">
        <v>2607.6</v>
      </c>
      <c r="AF56" s="2">
        <f t="shared" si="17"/>
        <v>-1.1313084828961497</v>
      </c>
      <c r="AG56" s="2">
        <v>0.7</v>
      </c>
    </row>
    <row r="57" spans="18:33" x14ac:dyDescent="0.3">
      <c r="R57" s="35">
        <v>2007</v>
      </c>
      <c r="AC57" s="1">
        <v>21186</v>
      </c>
      <c r="AD57" s="2">
        <v>-73.7</v>
      </c>
      <c r="AE57" s="2">
        <v>2631.6</v>
      </c>
      <c r="AF57" s="2">
        <f t="shared" si="17"/>
        <v>-2.8005775953792371</v>
      </c>
      <c r="AG57" s="2">
        <v>1.4</v>
      </c>
    </row>
    <row r="58" spans="18:33" x14ac:dyDescent="0.3">
      <c r="AC58" s="1">
        <v>21276</v>
      </c>
      <c r="AD58" s="2">
        <v>18.3</v>
      </c>
      <c r="AE58" s="2">
        <v>2655</v>
      </c>
      <c r="AF58" s="2">
        <f t="shared" si="17"/>
        <v>0.68926553672316382</v>
      </c>
      <c r="AG58" s="2">
        <v>1.1000000000000001</v>
      </c>
    </row>
    <row r="59" spans="18:33" x14ac:dyDescent="0.3">
      <c r="AC59" s="1">
        <v>21367</v>
      </c>
      <c r="AD59" s="2">
        <v>64.400000000000006</v>
      </c>
      <c r="AE59" s="2">
        <v>2678.5</v>
      </c>
      <c r="AF59" s="2">
        <f t="shared" si="17"/>
        <v>2.404330782154191</v>
      </c>
      <c r="AG59" s="2">
        <v>-0.1</v>
      </c>
    </row>
    <row r="60" spans="18:33" x14ac:dyDescent="0.3">
      <c r="AC60" s="1">
        <v>21459</v>
      </c>
      <c r="AD60" s="2">
        <v>66.8</v>
      </c>
      <c r="AE60" s="2">
        <v>2702</v>
      </c>
      <c r="AF60" s="2">
        <f t="shared" si="17"/>
        <v>2.4722427831236122</v>
      </c>
      <c r="AG60" s="2">
        <v>-0.9</v>
      </c>
    </row>
    <row r="61" spans="18:33" x14ac:dyDescent="0.3">
      <c r="AC61" s="1">
        <v>21551</v>
      </c>
      <c r="AD61" s="2">
        <v>54.3</v>
      </c>
      <c r="AE61" s="2">
        <v>2725.2</v>
      </c>
      <c r="AF61" s="2">
        <f t="shared" si="17"/>
        <v>1.9925143108762662</v>
      </c>
      <c r="AG61" s="2">
        <v>-0.6</v>
      </c>
    </row>
    <row r="62" spans="18:33" x14ac:dyDescent="0.3">
      <c r="AC62" s="1">
        <v>21641</v>
      </c>
      <c r="AD62" s="2">
        <v>72.3</v>
      </c>
      <c r="AE62" s="2">
        <v>2749</v>
      </c>
      <c r="AF62" s="2">
        <f t="shared" si="17"/>
        <v>2.6300472899236085</v>
      </c>
      <c r="AG62" s="2">
        <v>-0.7</v>
      </c>
    </row>
    <row r="63" spans="18:33" x14ac:dyDescent="0.3">
      <c r="AC63" s="1">
        <v>21732</v>
      </c>
      <c r="AD63" s="2">
        <v>-5.9</v>
      </c>
      <c r="AE63" s="2">
        <v>2773.2</v>
      </c>
      <c r="AF63" s="2">
        <f t="shared" si="17"/>
        <v>-0.2127506130102409</v>
      </c>
      <c r="AG63" s="2">
        <v>0.2</v>
      </c>
    </row>
    <row r="64" spans="18:33" x14ac:dyDescent="0.3">
      <c r="AC64" s="1">
        <v>21824</v>
      </c>
      <c r="AD64" s="2">
        <v>12</v>
      </c>
      <c r="AE64" s="2">
        <v>2798</v>
      </c>
      <c r="AF64" s="2">
        <f t="shared" si="17"/>
        <v>0.42887776983559683</v>
      </c>
      <c r="AG64" s="2">
        <v>0.3</v>
      </c>
    </row>
    <row r="65" spans="29:33" x14ac:dyDescent="0.3">
      <c r="AC65" s="1">
        <v>21916</v>
      </c>
      <c r="AD65" s="2">
        <v>68</v>
      </c>
      <c r="AE65" s="2">
        <v>2824.2</v>
      </c>
      <c r="AF65" s="2">
        <f t="shared" si="17"/>
        <v>2.4077614899794635</v>
      </c>
      <c r="AG65" s="2">
        <v>-0.5</v>
      </c>
    </row>
    <row r="66" spans="29:33" x14ac:dyDescent="0.3">
      <c r="AC66" s="1">
        <v>22007</v>
      </c>
      <c r="AD66" s="2">
        <v>-11.8</v>
      </c>
      <c r="AE66" s="2">
        <v>2851.2</v>
      </c>
      <c r="AF66" s="2">
        <f t="shared" si="17"/>
        <v>-0.41386083052749723</v>
      </c>
      <c r="AG66" s="2">
        <v>0.1</v>
      </c>
    </row>
    <row r="67" spans="29:33" x14ac:dyDescent="0.3">
      <c r="AC67" s="1">
        <v>22098</v>
      </c>
      <c r="AD67" s="2">
        <v>7.7</v>
      </c>
      <c r="AE67" s="2">
        <v>2878.7</v>
      </c>
      <c r="AF67" s="2">
        <f t="shared" si="17"/>
        <v>0.26748184944593045</v>
      </c>
      <c r="AG67" s="2">
        <v>0.3</v>
      </c>
    </row>
    <row r="68" spans="29:33" x14ac:dyDescent="0.3">
      <c r="AC68" s="1">
        <v>22190</v>
      </c>
      <c r="AD68" s="2">
        <v>-37.700000000000003</v>
      </c>
      <c r="AE68" s="2">
        <v>2906.7</v>
      </c>
      <c r="AF68" s="2">
        <f t="shared" si="17"/>
        <v>-1.2970034747307946</v>
      </c>
      <c r="AG68" s="2">
        <v>0.8</v>
      </c>
    </row>
    <row r="69" spans="29:33" x14ac:dyDescent="0.3">
      <c r="AC69" s="1">
        <v>22282</v>
      </c>
      <c r="AD69" s="2">
        <v>20.9</v>
      </c>
      <c r="AE69" s="2">
        <v>2934.8</v>
      </c>
      <c r="AF69" s="2">
        <f t="shared" si="17"/>
        <v>0.71214392803598192</v>
      </c>
      <c r="AG69" s="2">
        <v>0.5</v>
      </c>
    </row>
    <row r="70" spans="29:33" x14ac:dyDescent="0.3">
      <c r="AC70" s="1">
        <v>22372</v>
      </c>
      <c r="AD70" s="2">
        <v>57.6</v>
      </c>
      <c r="AE70" s="2">
        <v>2962.9</v>
      </c>
      <c r="AF70" s="2">
        <f t="shared" si="17"/>
        <v>1.944041310877856</v>
      </c>
      <c r="AG70" s="2">
        <v>0.2</v>
      </c>
    </row>
    <row r="71" spans="29:33" x14ac:dyDescent="0.3">
      <c r="AC71" s="1">
        <v>22463</v>
      </c>
      <c r="AD71" s="2">
        <v>52.7</v>
      </c>
      <c r="AE71" s="2">
        <v>2991.3</v>
      </c>
      <c r="AF71" s="2">
        <f t="shared" si="17"/>
        <v>1.7617758165346169</v>
      </c>
      <c r="AG71" s="2">
        <v>-0.2</v>
      </c>
    </row>
    <row r="72" spans="29:33" x14ac:dyDescent="0.3">
      <c r="AC72" s="1">
        <v>22555</v>
      </c>
      <c r="AD72" s="2">
        <v>65</v>
      </c>
      <c r="AE72" s="2">
        <v>3019.9</v>
      </c>
      <c r="AF72" s="2">
        <f t="shared" si="17"/>
        <v>2.152389151958674</v>
      </c>
      <c r="AG72" s="2">
        <v>-0.6</v>
      </c>
    </row>
    <row r="73" spans="29:33" x14ac:dyDescent="0.3">
      <c r="AC73" s="1">
        <v>22647</v>
      </c>
      <c r="AD73" s="2">
        <v>59</v>
      </c>
      <c r="AE73" s="2">
        <v>3048.7</v>
      </c>
      <c r="AF73" s="2">
        <f t="shared" si="17"/>
        <v>1.9352510906287927</v>
      </c>
      <c r="AG73" s="2">
        <v>-0.6</v>
      </c>
    </row>
    <row r="74" spans="29:33" x14ac:dyDescent="0.3">
      <c r="AC74" s="1">
        <v>22737</v>
      </c>
      <c r="AD74" s="2">
        <v>35.9</v>
      </c>
      <c r="AE74" s="2">
        <v>3078</v>
      </c>
      <c r="AF74" s="2">
        <f t="shared" si="17"/>
        <v>1.1663417803768681</v>
      </c>
      <c r="AG74" s="2">
        <v>-0.1</v>
      </c>
    </row>
    <row r="75" spans="29:33" x14ac:dyDescent="0.3">
      <c r="AC75" s="1">
        <v>22828</v>
      </c>
      <c r="AD75" s="2">
        <v>32.1</v>
      </c>
      <c r="AE75" s="2">
        <v>3107.7</v>
      </c>
      <c r="AF75" s="2">
        <f t="shared" si="17"/>
        <v>1.0329182353509025</v>
      </c>
      <c r="AG75" s="2">
        <v>0.1</v>
      </c>
    </row>
    <row r="76" spans="29:33" x14ac:dyDescent="0.3">
      <c r="AC76" s="1">
        <v>22920</v>
      </c>
      <c r="AD76" s="2">
        <v>13.2</v>
      </c>
      <c r="AE76" s="2">
        <v>3137.7</v>
      </c>
      <c r="AF76" s="2">
        <f t="shared" si="17"/>
        <v>0.42069031456162159</v>
      </c>
      <c r="AG76" s="2">
        <v>-0.1</v>
      </c>
    </row>
    <row r="77" spans="29:33" x14ac:dyDescent="0.3">
      <c r="AC77" s="1">
        <v>23012</v>
      </c>
      <c r="AD77" s="2">
        <v>38</v>
      </c>
      <c r="AE77" s="2">
        <v>3168.4</v>
      </c>
      <c r="AF77" s="2">
        <f t="shared" si="17"/>
        <v>1.1993435172326725</v>
      </c>
      <c r="AG77" s="2">
        <v>0.3</v>
      </c>
    </row>
    <row r="78" spans="29:33" x14ac:dyDescent="0.3">
      <c r="AC78" s="1">
        <v>23102</v>
      </c>
      <c r="AD78" s="2">
        <v>45</v>
      </c>
      <c r="AE78" s="2">
        <v>3199.4</v>
      </c>
      <c r="AF78" s="2">
        <f t="shared" si="17"/>
        <v>1.4065137213227479</v>
      </c>
      <c r="AG78" s="2">
        <v>-0.1</v>
      </c>
    </row>
    <row r="79" spans="29:33" x14ac:dyDescent="0.3">
      <c r="AC79" s="1">
        <v>23193</v>
      </c>
      <c r="AD79" s="2">
        <v>68.3</v>
      </c>
      <c r="AE79" s="2">
        <v>3230.7</v>
      </c>
      <c r="AF79" s="2">
        <f t="shared" si="17"/>
        <v>2.1140929210387842</v>
      </c>
      <c r="AG79" s="2">
        <v>-0.2</v>
      </c>
    </row>
    <row r="80" spans="29:33" x14ac:dyDescent="0.3">
      <c r="AC80" s="1">
        <v>23285</v>
      </c>
      <c r="AD80" s="2">
        <v>25.4</v>
      </c>
      <c r="AE80" s="2">
        <v>3262.5</v>
      </c>
      <c r="AF80" s="2">
        <f t="shared" si="17"/>
        <v>0.77854406130268194</v>
      </c>
      <c r="AG80" s="2">
        <v>0.1</v>
      </c>
    </row>
    <row r="81" spans="29:33" x14ac:dyDescent="0.3">
      <c r="AC81" s="1">
        <v>23377</v>
      </c>
      <c r="AD81" s="2">
        <v>77.7</v>
      </c>
      <c r="AE81" s="2">
        <v>3294.5</v>
      </c>
      <c r="AF81" s="2">
        <f t="shared" si="17"/>
        <v>2.3584762482926087</v>
      </c>
      <c r="AG81" s="2">
        <v>-0.1</v>
      </c>
    </row>
    <row r="82" spans="29:33" x14ac:dyDescent="0.3">
      <c r="AC82" s="1">
        <v>23468</v>
      </c>
      <c r="AD82" s="2">
        <v>43.7</v>
      </c>
      <c r="AE82" s="2">
        <v>3326.8</v>
      </c>
      <c r="AF82" s="2">
        <f t="shared" si="17"/>
        <v>1.3135746062282072</v>
      </c>
      <c r="AG82" s="2">
        <v>-0.3</v>
      </c>
    </row>
    <row r="83" spans="29:33" x14ac:dyDescent="0.3">
      <c r="AC83" s="1">
        <v>23559</v>
      </c>
      <c r="AD83" s="2">
        <v>50.4</v>
      </c>
      <c r="AE83" s="2">
        <v>3359.6</v>
      </c>
      <c r="AF83" s="2">
        <f t="shared" si="17"/>
        <v>1.5001785926896058</v>
      </c>
      <c r="AG83" s="2">
        <v>-0.2</v>
      </c>
    </row>
    <row r="84" spans="29:33" x14ac:dyDescent="0.3">
      <c r="AC84" s="1">
        <v>23651</v>
      </c>
      <c r="AD84" s="2">
        <v>13.3</v>
      </c>
      <c r="AE84" s="2">
        <v>3393</v>
      </c>
      <c r="AF84" s="2">
        <f t="shared" si="17"/>
        <v>0.3919834954317713</v>
      </c>
      <c r="AG84" s="2">
        <v>0</v>
      </c>
    </row>
    <row r="85" spans="29:33" x14ac:dyDescent="0.3">
      <c r="AC85" s="1">
        <v>23743</v>
      </c>
      <c r="AD85" s="2">
        <v>93.2</v>
      </c>
      <c r="AE85" s="2">
        <v>3427.3</v>
      </c>
      <c r="AF85" s="2">
        <f t="shared" si="17"/>
        <v>2.7193417559011466</v>
      </c>
      <c r="AG85" s="2">
        <v>-0.1</v>
      </c>
    </row>
    <row r="86" spans="29:33" x14ac:dyDescent="0.3">
      <c r="AC86" s="1">
        <v>23833</v>
      </c>
      <c r="AD86" s="2">
        <v>52.9</v>
      </c>
      <c r="AE86" s="2">
        <v>3462.3</v>
      </c>
      <c r="AF86" s="2">
        <f t="shared" ref="AF86:AF149" si="18">100*AD86/AE86</f>
        <v>1.5278860872830198</v>
      </c>
      <c r="AG86" s="2">
        <v>-0.2</v>
      </c>
    </row>
    <row r="87" spans="29:33" x14ac:dyDescent="0.3">
      <c r="AC87" s="1">
        <v>23924</v>
      </c>
      <c r="AD87" s="2">
        <v>79.7</v>
      </c>
      <c r="AE87" s="2">
        <v>3498.1</v>
      </c>
      <c r="AF87" s="2">
        <f t="shared" si="18"/>
        <v>2.2783796918327091</v>
      </c>
      <c r="AG87" s="2">
        <v>-0.3</v>
      </c>
    </row>
    <row r="88" spans="29:33" x14ac:dyDescent="0.3">
      <c r="AC88" s="1">
        <v>24016</v>
      </c>
      <c r="AD88" s="2">
        <v>94.3</v>
      </c>
      <c r="AE88" s="2">
        <v>3534.9</v>
      </c>
      <c r="AF88" s="2">
        <f t="shared" si="18"/>
        <v>2.6676850830292227</v>
      </c>
      <c r="AG88" s="2">
        <v>-0.3</v>
      </c>
    </row>
    <row r="89" spans="29:33" x14ac:dyDescent="0.3">
      <c r="AC89" s="1">
        <v>24108</v>
      </c>
      <c r="AD89" s="2">
        <v>101.2</v>
      </c>
      <c r="AE89" s="2">
        <v>3572.7</v>
      </c>
      <c r="AF89" s="2">
        <f t="shared" si="18"/>
        <v>2.8325915973913287</v>
      </c>
      <c r="AG89" s="2">
        <v>-0.2</v>
      </c>
    </row>
    <row r="90" spans="29:33" x14ac:dyDescent="0.3">
      <c r="AC90" s="1">
        <v>24198</v>
      </c>
      <c r="AD90" s="2">
        <v>17.2</v>
      </c>
      <c r="AE90" s="2">
        <v>3612.1</v>
      </c>
      <c r="AF90" s="2">
        <f t="shared" si="18"/>
        <v>0.47617729298745881</v>
      </c>
      <c r="AG90" s="2">
        <v>-0.1</v>
      </c>
    </row>
    <row r="91" spans="29:33" x14ac:dyDescent="0.3">
      <c r="AC91" s="1">
        <v>24289</v>
      </c>
      <c r="AD91" s="2">
        <v>30.1</v>
      </c>
      <c r="AE91" s="2">
        <v>3652.4</v>
      </c>
      <c r="AF91" s="2">
        <f t="shared" si="18"/>
        <v>0.82411564998357245</v>
      </c>
      <c r="AG91" s="2">
        <v>0</v>
      </c>
    </row>
    <row r="92" spans="29:33" x14ac:dyDescent="0.3">
      <c r="AC92" s="1">
        <v>24381</v>
      </c>
      <c r="AD92" s="2">
        <v>36.4</v>
      </c>
      <c r="AE92" s="2">
        <v>3693.2</v>
      </c>
      <c r="AF92" s="2">
        <f t="shared" si="18"/>
        <v>0.98559514783927227</v>
      </c>
      <c r="AG92" s="2">
        <v>-0.1</v>
      </c>
    </row>
    <row r="93" spans="29:33" x14ac:dyDescent="0.3">
      <c r="AC93" s="1">
        <v>24473</v>
      </c>
      <c r="AD93" s="2">
        <v>39.299999999999997</v>
      </c>
      <c r="AE93" s="2">
        <v>3734.4</v>
      </c>
      <c r="AF93" s="2">
        <f t="shared" si="18"/>
        <v>1.0523778920308482</v>
      </c>
      <c r="AG93" s="2">
        <v>0.1</v>
      </c>
    </row>
    <row r="94" spans="29:33" x14ac:dyDescent="0.3">
      <c r="AC94" s="1">
        <v>24563</v>
      </c>
      <c r="AD94" s="2">
        <v>3.8</v>
      </c>
      <c r="AE94" s="2">
        <v>3775.4</v>
      </c>
      <c r="AF94" s="2">
        <f t="shared" si="18"/>
        <v>0.10065158658685172</v>
      </c>
      <c r="AG94" s="2">
        <v>0</v>
      </c>
    </row>
    <row r="95" spans="29:33" x14ac:dyDescent="0.3">
      <c r="AC95" s="1">
        <v>24654</v>
      </c>
      <c r="AD95" s="2">
        <v>37.299999999999997</v>
      </c>
      <c r="AE95" s="2">
        <v>3816.4</v>
      </c>
      <c r="AF95" s="2">
        <f t="shared" si="18"/>
        <v>0.97736086364112762</v>
      </c>
      <c r="AG95" s="2">
        <v>0</v>
      </c>
    </row>
    <row r="96" spans="29:33" x14ac:dyDescent="0.3">
      <c r="AC96" s="1">
        <v>24746</v>
      </c>
      <c r="AD96" s="2">
        <v>35.1</v>
      </c>
      <c r="AE96" s="2">
        <v>3857.3</v>
      </c>
      <c r="AF96" s="2">
        <f t="shared" si="18"/>
        <v>0.90996292743628959</v>
      </c>
      <c r="AG96" s="2">
        <v>0.1</v>
      </c>
    </row>
    <row r="97" spans="29:33" x14ac:dyDescent="0.3">
      <c r="AC97" s="1">
        <v>24838</v>
      </c>
      <c r="AD97" s="2">
        <v>89.3</v>
      </c>
      <c r="AE97" s="2">
        <v>3897.1</v>
      </c>
      <c r="AF97" s="2">
        <f t="shared" si="18"/>
        <v>2.2914474865925945</v>
      </c>
      <c r="AG97" s="2">
        <v>-0.2</v>
      </c>
    </row>
    <row r="98" spans="29:33" x14ac:dyDescent="0.3">
      <c r="AC98" s="1">
        <v>24929</v>
      </c>
      <c r="AD98" s="2">
        <v>75.8</v>
      </c>
      <c r="AE98" s="2">
        <v>3936.7</v>
      </c>
      <c r="AF98" s="2">
        <f t="shared" si="18"/>
        <v>1.9254705717987148</v>
      </c>
      <c r="AG98" s="2">
        <v>-0.1</v>
      </c>
    </row>
    <row r="99" spans="29:33" x14ac:dyDescent="0.3">
      <c r="AC99" s="1">
        <v>25020</v>
      </c>
      <c r="AD99" s="2">
        <v>32.799999999999997</v>
      </c>
      <c r="AE99" s="2">
        <v>3976.2</v>
      </c>
      <c r="AF99" s="2">
        <f t="shared" si="18"/>
        <v>0.82490820381268537</v>
      </c>
      <c r="AG99" s="2">
        <v>-0.1</v>
      </c>
    </row>
    <row r="100" spans="29:33" x14ac:dyDescent="0.3">
      <c r="AC100" s="1">
        <v>25112</v>
      </c>
      <c r="AD100" s="2">
        <v>20.399999999999999</v>
      </c>
      <c r="AE100" s="2">
        <v>4015.6</v>
      </c>
      <c r="AF100" s="2">
        <f t="shared" si="18"/>
        <v>0.50801872696483708</v>
      </c>
      <c r="AG100" s="2">
        <v>-0.1</v>
      </c>
    </row>
    <row r="101" spans="29:33" x14ac:dyDescent="0.3">
      <c r="AC101" s="1">
        <v>25204</v>
      </c>
      <c r="AD101" s="2">
        <v>71.7</v>
      </c>
      <c r="AE101" s="2">
        <v>4055.4</v>
      </c>
      <c r="AF101" s="2">
        <f t="shared" si="18"/>
        <v>1.768013019677467</v>
      </c>
      <c r="AG101" s="2">
        <v>0</v>
      </c>
    </row>
    <row r="102" spans="29:33" x14ac:dyDescent="0.3">
      <c r="AC102" s="1">
        <v>25294</v>
      </c>
      <c r="AD102" s="2">
        <v>15</v>
      </c>
      <c r="AE102" s="2">
        <v>4095.6</v>
      </c>
      <c r="AF102" s="2">
        <f t="shared" si="18"/>
        <v>0.36624670377966601</v>
      </c>
      <c r="AG102" s="2">
        <v>0</v>
      </c>
    </row>
    <row r="103" spans="29:33" x14ac:dyDescent="0.3">
      <c r="AC103" s="1">
        <v>25385</v>
      </c>
      <c r="AD103" s="2">
        <v>29.4</v>
      </c>
      <c r="AE103" s="2">
        <v>4135.7</v>
      </c>
      <c r="AF103" s="2">
        <f t="shared" si="18"/>
        <v>0.7108832845709312</v>
      </c>
      <c r="AG103" s="2">
        <v>0.2</v>
      </c>
    </row>
    <row r="104" spans="29:33" x14ac:dyDescent="0.3">
      <c r="AC104" s="1">
        <v>25477</v>
      </c>
      <c r="AD104" s="2">
        <v>-20.5</v>
      </c>
      <c r="AE104" s="2">
        <v>4175.7</v>
      </c>
      <c r="AF104" s="2">
        <f t="shared" si="18"/>
        <v>-0.49093565150753171</v>
      </c>
      <c r="AG104" s="2">
        <v>0</v>
      </c>
    </row>
    <row r="105" spans="29:33" x14ac:dyDescent="0.3">
      <c r="AC105" s="1">
        <v>25569</v>
      </c>
      <c r="AD105" s="2">
        <v>-8.1999999999999993</v>
      </c>
      <c r="AE105" s="2">
        <v>4215.3</v>
      </c>
      <c r="AF105" s="2">
        <f t="shared" si="18"/>
        <v>-0.19452945223353019</v>
      </c>
      <c r="AG105" s="2">
        <v>0.6</v>
      </c>
    </row>
    <row r="106" spans="29:33" x14ac:dyDescent="0.3">
      <c r="AC106" s="1">
        <v>25659</v>
      </c>
      <c r="AD106" s="2">
        <v>8.3000000000000007</v>
      </c>
      <c r="AE106" s="2">
        <v>4254.2</v>
      </c>
      <c r="AF106" s="2">
        <f t="shared" si="18"/>
        <v>0.19510131164496267</v>
      </c>
      <c r="AG106" s="2">
        <v>0.6</v>
      </c>
    </row>
    <row r="107" spans="29:33" x14ac:dyDescent="0.3">
      <c r="AC107" s="1">
        <v>25750</v>
      </c>
      <c r="AD107" s="2">
        <v>41.7</v>
      </c>
      <c r="AE107" s="2">
        <v>4292.7</v>
      </c>
      <c r="AF107" s="2">
        <f t="shared" si="18"/>
        <v>0.9714165909567406</v>
      </c>
      <c r="AG107" s="2">
        <v>0.4</v>
      </c>
    </row>
    <row r="108" spans="29:33" x14ac:dyDescent="0.3">
      <c r="AC108" s="1">
        <v>25842</v>
      </c>
      <c r="AD108" s="2">
        <v>-48.9</v>
      </c>
      <c r="AE108" s="2">
        <v>4330.7</v>
      </c>
      <c r="AF108" s="2">
        <f t="shared" si="18"/>
        <v>-1.1291477128408802</v>
      </c>
      <c r="AG108" s="2">
        <v>0.6</v>
      </c>
    </row>
    <row r="109" spans="29:33" x14ac:dyDescent="0.3">
      <c r="AC109" s="1">
        <v>25934</v>
      </c>
      <c r="AD109" s="2">
        <v>126</v>
      </c>
      <c r="AE109" s="2">
        <v>4368</v>
      </c>
      <c r="AF109" s="2">
        <f t="shared" si="18"/>
        <v>2.8846153846153846</v>
      </c>
      <c r="AG109" s="2">
        <v>0.1</v>
      </c>
    </row>
    <row r="110" spans="29:33" x14ac:dyDescent="0.3">
      <c r="AC110" s="1">
        <v>26024</v>
      </c>
      <c r="AD110" s="2">
        <v>27.5</v>
      </c>
      <c r="AE110" s="2">
        <v>4404.8</v>
      </c>
      <c r="AF110" s="2">
        <f t="shared" si="18"/>
        <v>0.62431892480929896</v>
      </c>
      <c r="AG110" s="2">
        <v>0</v>
      </c>
    </row>
    <row r="111" spans="29:33" x14ac:dyDescent="0.3">
      <c r="AC111" s="1">
        <v>26115</v>
      </c>
      <c r="AD111" s="2">
        <v>37.9</v>
      </c>
      <c r="AE111" s="2">
        <v>4441.6000000000004</v>
      </c>
      <c r="AF111" s="2">
        <f t="shared" si="18"/>
        <v>0.85329610951008639</v>
      </c>
      <c r="AG111" s="2">
        <v>0.1</v>
      </c>
    </row>
    <row r="112" spans="29:33" x14ac:dyDescent="0.3">
      <c r="AC112" s="1">
        <v>26207</v>
      </c>
      <c r="AD112" s="2">
        <v>14.2</v>
      </c>
      <c r="AE112" s="2">
        <v>4478.6000000000004</v>
      </c>
      <c r="AF112" s="2">
        <f t="shared" si="18"/>
        <v>0.31706336801679091</v>
      </c>
      <c r="AG112" s="2">
        <v>-0.1</v>
      </c>
    </row>
    <row r="113" spans="29:33" x14ac:dyDescent="0.3">
      <c r="AC113" s="1">
        <v>26299</v>
      </c>
      <c r="AD113" s="2">
        <v>87.5</v>
      </c>
      <c r="AE113" s="2">
        <v>4516.3999999999996</v>
      </c>
      <c r="AF113" s="2">
        <f t="shared" si="18"/>
        <v>1.9373837569745818</v>
      </c>
      <c r="AG113" s="2">
        <v>-0.1</v>
      </c>
    </row>
    <row r="114" spans="29:33" x14ac:dyDescent="0.3">
      <c r="AC114" s="1">
        <v>26390</v>
      </c>
      <c r="AD114" s="2">
        <v>115.7</v>
      </c>
      <c r="AE114" s="2">
        <v>4554.5</v>
      </c>
      <c r="AF114" s="2">
        <f t="shared" si="18"/>
        <v>2.5403447140191018</v>
      </c>
      <c r="AG114" s="2">
        <v>-0.1</v>
      </c>
    </row>
    <row r="115" spans="29:33" x14ac:dyDescent="0.3">
      <c r="AC115" s="1">
        <v>26481</v>
      </c>
      <c r="AD115" s="2">
        <v>47.1</v>
      </c>
      <c r="AE115" s="2">
        <v>4593.3999999999996</v>
      </c>
      <c r="AF115" s="2">
        <f t="shared" si="18"/>
        <v>1.0253842469630341</v>
      </c>
      <c r="AG115" s="2">
        <v>-0.1</v>
      </c>
    </row>
    <row r="116" spans="29:33" x14ac:dyDescent="0.3">
      <c r="AC116" s="1">
        <v>26573</v>
      </c>
      <c r="AD116" s="2">
        <v>85.7</v>
      </c>
      <c r="AE116" s="2">
        <v>4633.2</v>
      </c>
      <c r="AF116" s="2">
        <f t="shared" si="18"/>
        <v>1.8496935163601831</v>
      </c>
      <c r="AG116" s="2">
        <v>-0.2</v>
      </c>
    </row>
    <row r="117" spans="29:33" x14ac:dyDescent="0.3">
      <c r="AC117" s="1">
        <v>26665</v>
      </c>
      <c r="AD117" s="2">
        <v>129.19999999999999</v>
      </c>
      <c r="AE117" s="2">
        <v>4674.3</v>
      </c>
      <c r="AF117" s="2">
        <f t="shared" si="18"/>
        <v>2.7640502321203169</v>
      </c>
      <c r="AG117" s="2">
        <v>-0.5</v>
      </c>
    </row>
    <row r="118" spans="29:33" x14ac:dyDescent="0.3">
      <c r="AC118" s="1">
        <v>26755</v>
      </c>
      <c r="AD118" s="2">
        <v>60.9</v>
      </c>
      <c r="AE118" s="2">
        <v>4717.1000000000004</v>
      </c>
      <c r="AF118" s="2">
        <f t="shared" si="18"/>
        <v>1.2910474656038666</v>
      </c>
      <c r="AG118" s="2">
        <v>0</v>
      </c>
    </row>
    <row r="119" spans="29:33" x14ac:dyDescent="0.3">
      <c r="AC119" s="1">
        <v>26846</v>
      </c>
      <c r="AD119" s="2">
        <v>-29.5</v>
      </c>
      <c r="AE119" s="2">
        <v>4761</v>
      </c>
      <c r="AF119" s="2">
        <f t="shared" si="18"/>
        <v>-0.61961772736819998</v>
      </c>
      <c r="AG119" s="2">
        <v>-0.1</v>
      </c>
    </row>
    <row r="120" spans="29:33" x14ac:dyDescent="0.3">
      <c r="AC120" s="1">
        <v>26938</v>
      </c>
      <c r="AD120" s="2">
        <v>50.4</v>
      </c>
      <c r="AE120" s="2">
        <v>4805.7</v>
      </c>
      <c r="AF120" s="2">
        <f t="shared" si="18"/>
        <v>1.0487546039078595</v>
      </c>
      <c r="AG120" s="2">
        <v>0</v>
      </c>
    </row>
    <row r="121" spans="29:33" x14ac:dyDescent="0.3">
      <c r="AC121" s="1">
        <v>27030</v>
      </c>
      <c r="AD121" s="2">
        <v>-45.3</v>
      </c>
      <c r="AE121" s="2">
        <v>4851.5</v>
      </c>
      <c r="AF121" s="2">
        <f t="shared" si="18"/>
        <v>-0.93373183551478922</v>
      </c>
      <c r="AG121" s="2">
        <v>0.3</v>
      </c>
    </row>
    <row r="122" spans="29:33" x14ac:dyDescent="0.3">
      <c r="AC122" s="1">
        <v>27120</v>
      </c>
      <c r="AD122" s="2">
        <v>14.2</v>
      </c>
      <c r="AE122" s="2">
        <v>4898.3</v>
      </c>
      <c r="AF122" s="2">
        <f t="shared" si="18"/>
        <v>0.2898964947022436</v>
      </c>
      <c r="AG122" s="2">
        <v>0.1</v>
      </c>
    </row>
    <row r="123" spans="29:33" x14ac:dyDescent="0.3">
      <c r="AC123" s="1">
        <v>27211</v>
      </c>
      <c r="AD123" s="2">
        <v>-52.6</v>
      </c>
      <c r="AE123" s="2">
        <v>4945.3999999999996</v>
      </c>
      <c r="AF123" s="2">
        <f t="shared" si="18"/>
        <v>-1.0636146722206496</v>
      </c>
      <c r="AG123" s="2">
        <v>0.4</v>
      </c>
    </row>
    <row r="124" spans="29:33" x14ac:dyDescent="0.3">
      <c r="AC124" s="1">
        <v>27303</v>
      </c>
      <c r="AD124" s="2">
        <v>-21.4</v>
      </c>
      <c r="AE124" s="2">
        <v>4992.2</v>
      </c>
      <c r="AF124" s="2">
        <f t="shared" si="18"/>
        <v>-0.42866872320820482</v>
      </c>
      <c r="AG124" s="2">
        <v>1</v>
      </c>
    </row>
    <row r="125" spans="29:33" x14ac:dyDescent="0.3">
      <c r="AC125" s="1">
        <v>27395</v>
      </c>
      <c r="AD125" s="2">
        <v>-64.7</v>
      </c>
      <c r="AE125" s="2">
        <v>5037.8</v>
      </c>
      <c r="AF125" s="2">
        <f t="shared" si="18"/>
        <v>-1.284290761840486</v>
      </c>
      <c r="AG125" s="2">
        <v>1.7</v>
      </c>
    </row>
    <row r="126" spans="29:33" x14ac:dyDescent="0.3">
      <c r="AC126" s="1">
        <v>27485</v>
      </c>
      <c r="AD126" s="2">
        <v>40.700000000000003</v>
      </c>
      <c r="AE126" s="2">
        <v>5081.7</v>
      </c>
      <c r="AF126" s="2">
        <f t="shared" si="18"/>
        <v>0.80091308026841423</v>
      </c>
      <c r="AG126" s="2">
        <v>0.6</v>
      </c>
    </row>
    <row r="127" spans="29:33" x14ac:dyDescent="0.3">
      <c r="AC127" s="1">
        <v>27576</v>
      </c>
      <c r="AD127" s="2">
        <v>88.1</v>
      </c>
      <c r="AE127" s="2">
        <v>5124.7</v>
      </c>
      <c r="AF127" s="2">
        <f t="shared" si="18"/>
        <v>1.7191250219525045</v>
      </c>
      <c r="AG127" s="2">
        <v>-0.4</v>
      </c>
    </row>
    <row r="128" spans="29:33" x14ac:dyDescent="0.3">
      <c r="AC128" s="1">
        <v>27668</v>
      </c>
      <c r="AD128" s="2">
        <v>73</v>
      </c>
      <c r="AE128" s="2">
        <v>5167.2</v>
      </c>
      <c r="AF128" s="2">
        <f t="shared" si="18"/>
        <v>1.412757392785261</v>
      </c>
      <c r="AG128" s="2">
        <v>-0.2</v>
      </c>
    </row>
    <row r="129" spans="29:33" x14ac:dyDescent="0.3">
      <c r="AC129" s="1">
        <v>27760</v>
      </c>
      <c r="AD129" s="2">
        <v>123.9</v>
      </c>
      <c r="AE129" s="2">
        <v>5208.6000000000004</v>
      </c>
      <c r="AF129" s="2">
        <f t="shared" si="18"/>
        <v>2.378758207579772</v>
      </c>
      <c r="AG129" s="2">
        <v>-0.6</v>
      </c>
    </row>
    <row r="130" spans="29:33" x14ac:dyDescent="0.3">
      <c r="AC130" s="1">
        <v>27851</v>
      </c>
      <c r="AD130" s="2">
        <v>42.4</v>
      </c>
      <c r="AE130" s="2">
        <v>5249.9</v>
      </c>
      <c r="AF130" s="2">
        <f t="shared" si="18"/>
        <v>0.8076344311320216</v>
      </c>
      <c r="AG130" s="2">
        <v>-0.1</v>
      </c>
    </row>
    <row r="131" spans="29:33" x14ac:dyDescent="0.3">
      <c r="AC131" s="1">
        <v>27942</v>
      </c>
      <c r="AD131" s="2">
        <v>28.8</v>
      </c>
      <c r="AE131" s="2">
        <v>5291.5</v>
      </c>
      <c r="AF131" s="2">
        <f t="shared" si="18"/>
        <v>0.54426911083813667</v>
      </c>
      <c r="AG131" s="2">
        <v>0.1</v>
      </c>
    </row>
    <row r="132" spans="29:33" x14ac:dyDescent="0.3">
      <c r="AC132" s="1">
        <v>28034</v>
      </c>
      <c r="AD132" s="2">
        <v>42.6</v>
      </c>
      <c r="AE132" s="2">
        <v>5333.7</v>
      </c>
      <c r="AF132" s="2">
        <f t="shared" si="18"/>
        <v>0.7986950897125823</v>
      </c>
      <c r="AG132" s="2">
        <v>0.1</v>
      </c>
    </row>
    <row r="133" spans="29:33" x14ac:dyDescent="0.3">
      <c r="AC133" s="1">
        <v>28126</v>
      </c>
      <c r="AD133" s="2">
        <v>66.7</v>
      </c>
      <c r="AE133" s="2">
        <v>5377.8</v>
      </c>
      <c r="AF133" s="2">
        <f t="shared" si="18"/>
        <v>1.2402841310573096</v>
      </c>
      <c r="AG133" s="2">
        <v>-0.3</v>
      </c>
    </row>
    <row r="134" spans="29:33" x14ac:dyDescent="0.3">
      <c r="AC134" s="1">
        <v>28216</v>
      </c>
      <c r="AD134" s="2">
        <v>113.7</v>
      </c>
      <c r="AE134" s="2">
        <v>5422.7</v>
      </c>
      <c r="AF134" s="2">
        <f t="shared" si="18"/>
        <v>2.096741475648662</v>
      </c>
      <c r="AG134" s="2">
        <v>-0.4</v>
      </c>
    </row>
    <row r="135" spans="29:33" x14ac:dyDescent="0.3">
      <c r="AC135" s="1">
        <v>28307</v>
      </c>
      <c r="AD135" s="2">
        <v>104.5</v>
      </c>
      <c r="AE135" s="2">
        <v>5468.8</v>
      </c>
      <c r="AF135" s="2">
        <f t="shared" si="18"/>
        <v>1.9108396723229959</v>
      </c>
      <c r="AG135" s="2">
        <v>-0.2</v>
      </c>
    </row>
    <row r="136" spans="29:33" x14ac:dyDescent="0.3">
      <c r="AC136" s="1">
        <v>28399</v>
      </c>
      <c r="AD136" s="2">
        <v>0.6</v>
      </c>
      <c r="AE136" s="2">
        <v>5516</v>
      </c>
      <c r="AF136" s="2">
        <f t="shared" si="18"/>
        <v>1.0877447425670777E-2</v>
      </c>
      <c r="AG136" s="2">
        <v>-0.2</v>
      </c>
    </row>
    <row r="137" spans="29:33" x14ac:dyDescent="0.3">
      <c r="AC137" s="1">
        <v>28491</v>
      </c>
      <c r="AD137" s="2">
        <v>20.9</v>
      </c>
      <c r="AE137" s="2">
        <v>5564.6</v>
      </c>
      <c r="AF137" s="2">
        <f t="shared" si="18"/>
        <v>0.37558854185386187</v>
      </c>
      <c r="AG137" s="2">
        <v>-0.4</v>
      </c>
    </row>
    <row r="138" spans="29:33" x14ac:dyDescent="0.3">
      <c r="AC138" s="1">
        <v>28581</v>
      </c>
      <c r="AD138" s="2">
        <v>234.6</v>
      </c>
      <c r="AE138" s="2">
        <v>5616.8</v>
      </c>
      <c r="AF138" s="2">
        <f t="shared" si="18"/>
        <v>4.1767554479418889</v>
      </c>
      <c r="AG138" s="2">
        <v>-0.3</v>
      </c>
    </row>
    <row r="139" spans="29:33" x14ac:dyDescent="0.3">
      <c r="AC139" s="1">
        <v>28672</v>
      </c>
      <c r="AD139" s="2">
        <v>61.3</v>
      </c>
      <c r="AE139" s="2">
        <v>5669.5</v>
      </c>
      <c r="AF139" s="2">
        <f t="shared" si="18"/>
        <v>1.0812240938354352</v>
      </c>
      <c r="AG139" s="2">
        <v>0</v>
      </c>
    </row>
    <row r="140" spans="29:33" x14ac:dyDescent="0.3">
      <c r="AC140" s="1">
        <v>28764</v>
      </c>
      <c r="AD140" s="2">
        <v>84.8</v>
      </c>
      <c r="AE140" s="2">
        <v>5722.1</v>
      </c>
      <c r="AF140" s="2">
        <f t="shared" si="18"/>
        <v>1.4819734013736214</v>
      </c>
      <c r="AG140" s="2">
        <v>-0.1</v>
      </c>
    </row>
    <row r="141" spans="29:33" x14ac:dyDescent="0.3">
      <c r="AC141" s="1">
        <v>28856</v>
      </c>
      <c r="AD141" s="2">
        <v>12.8</v>
      </c>
      <c r="AE141" s="2">
        <v>5774.1</v>
      </c>
      <c r="AF141" s="2">
        <f t="shared" si="18"/>
        <v>0.22167956911033754</v>
      </c>
      <c r="AG141" s="2">
        <v>0</v>
      </c>
    </row>
    <row r="142" spans="29:33" x14ac:dyDescent="0.3">
      <c r="AC142" s="1">
        <v>28946</v>
      </c>
      <c r="AD142" s="2">
        <v>7.8</v>
      </c>
      <c r="AE142" s="2">
        <v>5823.7</v>
      </c>
      <c r="AF142" s="2">
        <f t="shared" si="18"/>
        <v>0.13393547057712452</v>
      </c>
      <c r="AG142" s="2">
        <v>-0.2</v>
      </c>
    </row>
    <row r="143" spans="29:33" x14ac:dyDescent="0.3">
      <c r="AC143" s="1">
        <v>29037</v>
      </c>
      <c r="AD143" s="2">
        <v>46.2</v>
      </c>
      <c r="AE143" s="2">
        <v>5870.9</v>
      </c>
      <c r="AF143" s="2">
        <f t="shared" si="18"/>
        <v>0.7869321569095028</v>
      </c>
      <c r="AG143" s="2">
        <v>0.2</v>
      </c>
    </row>
    <row r="144" spans="29:33" x14ac:dyDescent="0.3">
      <c r="AC144" s="1">
        <v>29129</v>
      </c>
      <c r="AD144" s="2">
        <v>16.7</v>
      </c>
      <c r="AE144" s="2">
        <v>5915.2</v>
      </c>
      <c r="AF144" s="2">
        <f t="shared" si="18"/>
        <v>0.28232350554503655</v>
      </c>
      <c r="AG144" s="2">
        <v>0.1</v>
      </c>
    </row>
    <row r="145" spans="29:33" x14ac:dyDescent="0.3">
      <c r="AC145" s="1">
        <v>29221</v>
      </c>
      <c r="AD145" s="2">
        <v>21.1</v>
      </c>
      <c r="AE145" s="2">
        <v>5954</v>
      </c>
      <c r="AF145" s="2">
        <f t="shared" si="18"/>
        <v>0.35438360765871685</v>
      </c>
      <c r="AG145" s="2">
        <v>0.3</v>
      </c>
    </row>
    <row r="146" spans="29:33" x14ac:dyDescent="0.3">
      <c r="AC146" s="1">
        <v>29312</v>
      </c>
      <c r="AD146" s="2">
        <v>-132.19999999999999</v>
      </c>
      <c r="AE146" s="2">
        <v>5986.7</v>
      </c>
      <c r="AF146" s="2">
        <f t="shared" si="18"/>
        <v>-2.2082282392637009</v>
      </c>
      <c r="AG146" s="2">
        <v>1</v>
      </c>
    </row>
    <row r="147" spans="29:33" x14ac:dyDescent="0.3">
      <c r="AC147" s="1">
        <v>29403</v>
      </c>
      <c r="AD147" s="2">
        <v>-9.6999999999999993</v>
      </c>
      <c r="AE147" s="2">
        <v>6017.5</v>
      </c>
      <c r="AF147" s="2">
        <f t="shared" si="18"/>
        <v>-0.16119651017864559</v>
      </c>
      <c r="AG147" s="2">
        <v>0.4</v>
      </c>
    </row>
    <row r="148" spans="29:33" x14ac:dyDescent="0.3">
      <c r="AC148" s="1">
        <v>29495</v>
      </c>
      <c r="AD148" s="2">
        <v>118.1</v>
      </c>
      <c r="AE148" s="2">
        <v>6047.7</v>
      </c>
      <c r="AF148" s="2">
        <f t="shared" si="18"/>
        <v>1.9528085057129156</v>
      </c>
      <c r="AG148" s="2">
        <v>-0.3</v>
      </c>
    </row>
    <row r="149" spans="29:33" x14ac:dyDescent="0.3">
      <c r="AC149" s="1">
        <v>29587</v>
      </c>
      <c r="AD149" s="2">
        <v>134.5</v>
      </c>
      <c r="AE149" s="2">
        <v>6079.4</v>
      </c>
      <c r="AF149" s="2">
        <f t="shared" si="18"/>
        <v>2.2123893805309738</v>
      </c>
      <c r="AG149" s="2">
        <v>0</v>
      </c>
    </row>
    <row r="150" spans="29:33" x14ac:dyDescent="0.3">
      <c r="AC150" s="1">
        <v>29677</v>
      </c>
      <c r="AD150" s="2">
        <v>-48.4</v>
      </c>
      <c r="AE150" s="2">
        <v>6115.2</v>
      </c>
      <c r="AF150" s="2">
        <f t="shared" ref="AF150:AF213" si="19">100*AD150/AE150</f>
        <v>-0.79147043432757724</v>
      </c>
      <c r="AG150" s="2">
        <v>0</v>
      </c>
    </row>
    <row r="151" spans="29:33" x14ac:dyDescent="0.3">
      <c r="AC151" s="1">
        <v>29768</v>
      </c>
      <c r="AD151" s="2">
        <v>75.5</v>
      </c>
      <c r="AE151" s="2">
        <v>6153.1</v>
      </c>
      <c r="AF151" s="2">
        <f t="shared" si="19"/>
        <v>1.2270237766329166</v>
      </c>
      <c r="AG151" s="2">
        <v>0</v>
      </c>
    </row>
    <row r="152" spans="29:33" x14ac:dyDescent="0.3">
      <c r="AC152" s="1">
        <v>29860</v>
      </c>
      <c r="AD152" s="2">
        <v>-77.7</v>
      </c>
      <c r="AE152" s="2">
        <v>6193.3</v>
      </c>
      <c r="AF152" s="2">
        <f t="shared" si="19"/>
        <v>-1.2545815639481375</v>
      </c>
      <c r="AG152" s="2">
        <v>0.8</v>
      </c>
    </row>
    <row r="153" spans="29:33" x14ac:dyDescent="0.3">
      <c r="AC153" s="1">
        <v>29952</v>
      </c>
      <c r="AD153" s="2">
        <v>-110</v>
      </c>
      <c r="AE153" s="2">
        <v>6238.9</v>
      </c>
      <c r="AF153" s="2">
        <f t="shared" si="19"/>
        <v>-1.7631313212264983</v>
      </c>
      <c r="AG153" s="2">
        <v>0.6</v>
      </c>
    </row>
    <row r="154" spans="29:33" x14ac:dyDescent="0.3">
      <c r="AC154" s="1">
        <v>30042</v>
      </c>
      <c r="AD154" s="2">
        <v>35.299999999999997</v>
      </c>
      <c r="AE154" s="2">
        <v>6285.6</v>
      </c>
      <c r="AF154" s="2">
        <f t="shared" si="19"/>
        <v>0.56160112002036389</v>
      </c>
      <c r="AG154" s="2">
        <v>0.6</v>
      </c>
    </row>
    <row r="155" spans="29:33" x14ac:dyDescent="0.3">
      <c r="AC155" s="1">
        <v>30133</v>
      </c>
      <c r="AD155" s="2">
        <v>-23.5</v>
      </c>
      <c r="AE155" s="2">
        <v>6333.4</v>
      </c>
      <c r="AF155" s="2">
        <f t="shared" si="19"/>
        <v>-0.37104872580288628</v>
      </c>
      <c r="AG155" s="2">
        <v>0.5</v>
      </c>
    </row>
    <row r="156" spans="29:33" x14ac:dyDescent="0.3">
      <c r="AC156" s="1">
        <v>30225</v>
      </c>
      <c r="AD156" s="2">
        <v>6.4</v>
      </c>
      <c r="AE156" s="2">
        <v>6381.6</v>
      </c>
      <c r="AF156" s="2">
        <f t="shared" si="19"/>
        <v>0.10028832894571893</v>
      </c>
      <c r="AG156" s="2">
        <v>0.8</v>
      </c>
    </row>
    <row r="157" spans="29:33" x14ac:dyDescent="0.3">
      <c r="AC157" s="1">
        <v>30317</v>
      </c>
      <c r="AD157" s="2">
        <v>84.9</v>
      </c>
      <c r="AE157" s="2">
        <v>6427.4</v>
      </c>
      <c r="AF157" s="2">
        <f t="shared" si="19"/>
        <v>1.320907365342129</v>
      </c>
      <c r="AG157" s="2">
        <v>-0.3</v>
      </c>
    </row>
    <row r="158" spans="29:33" x14ac:dyDescent="0.3">
      <c r="AC158" s="1">
        <v>30407</v>
      </c>
      <c r="AD158" s="2">
        <v>150</v>
      </c>
      <c r="AE158" s="2">
        <v>6472.6</v>
      </c>
      <c r="AF158" s="2">
        <f t="shared" si="19"/>
        <v>2.3174612983963168</v>
      </c>
      <c r="AG158" s="2">
        <v>-0.3</v>
      </c>
    </row>
    <row r="159" spans="29:33" x14ac:dyDescent="0.3">
      <c r="AC159" s="1">
        <v>30498</v>
      </c>
      <c r="AD159" s="2">
        <v>131.6</v>
      </c>
      <c r="AE159" s="2">
        <v>6518.3</v>
      </c>
      <c r="AF159" s="2">
        <f t="shared" si="19"/>
        <v>2.01893131644754</v>
      </c>
      <c r="AG159" s="2">
        <v>-0.7</v>
      </c>
    </row>
    <row r="160" spans="29:33" x14ac:dyDescent="0.3">
      <c r="AC160" s="1">
        <v>30590</v>
      </c>
      <c r="AD160" s="2">
        <v>141.30000000000001</v>
      </c>
      <c r="AE160" s="2">
        <v>6564.9</v>
      </c>
      <c r="AF160" s="2">
        <f t="shared" si="19"/>
        <v>2.152355709911804</v>
      </c>
      <c r="AG160" s="2">
        <v>-0.9</v>
      </c>
    </row>
    <row r="161" spans="29:33" x14ac:dyDescent="0.3">
      <c r="AC161" s="1">
        <v>30682</v>
      </c>
      <c r="AD161" s="2">
        <v>138.9</v>
      </c>
      <c r="AE161" s="2">
        <v>6613.5</v>
      </c>
      <c r="AF161" s="2">
        <f t="shared" si="19"/>
        <v>2.1002494896801998</v>
      </c>
      <c r="AG161" s="2">
        <v>-0.6</v>
      </c>
    </row>
    <row r="162" spans="29:33" x14ac:dyDescent="0.3">
      <c r="AC162" s="1">
        <v>30773</v>
      </c>
      <c r="AD162" s="2">
        <v>125.3</v>
      </c>
      <c r="AE162" s="2">
        <v>6664.6</v>
      </c>
      <c r="AF162" s="2">
        <f t="shared" si="19"/>
        <v>1.8800828256759594</v>
      </c>
      <c r="AG162" s="2">
        <v>-0.5</v>
      </c>
    </row>
    <row r="163" spans="29:33" x14ac:dyDescent="0.3">
      <c r="AC163" s="1">
        <v>30864</v>
      </c>
      <c r="AD163" s="2">
        <v>71.400000000000006</v>
      </c>
      <c r="AE163" s="2">
        <v>6717.3</v>
      </c>
      <c r="AF163" s="2">
        <f t="shared" si="19"/>
        <v>1.0629270689116164</v>
      </c>
      <c r="AG163" s="2">
        <v>0</v>
      </c>
    </row>
    <row r="164" spans="29:33" x14ac:dyDescent="0.3">
      <c r="AC164" s="1">
        <v>30956</v>
      </c>
      <c r="AD164" s="2">
        <v>58.5</v>
      </c>
      <c r="AE164" s="2">
        <v>6771.5</v>
      </c>
      <c r="AF164" s="2">
        <f t="shared" si="19"/>
        <v>0.86391493760614335</v>
      </c>
      <c r="AG164" s="2">
        <v>-0.1</v>
      </c>
    </row>
    <row r="165" spans="29:33" x14ac:dyDescent="0.3">
      <c r="AC165" s="1">
        <v>31048</v>
      </c>
      <c r="AD165" s="2">
        <v>73.400000000000006</v>
      </c>
      <c r="AE165" s="2">
        <v>6827.6</v>
      </c>
      <c r="AF165" s="2">
        <f t="shared" si="19"/>
        <v>1.0750483332356906</v>
      </c>
      <c r="AG165" s="2">
        <v>-0.1</v>
      </c>
    </row>
    <row r="166" spans="29:33" x14ac:dyDescent="0.3">
      <c r="AC166" s="1">
        <v>31138</v>
      </c>
      <c r="AD166" s="2">
        <v>68.400000000000006</v>
      </c>
      <c r="AE166" s="2">
        <v>6884.8</v>
      </c>
      <c r="AF166" s="2">
        <f t="shared" si="19"/>
        <v>0.99349291192191502</v>
      </c>
      <c r="AG166" s="2">
        <v>0.1</v>
      </c>
    </row>
    <row r="167" spans="29:33" x14ac:dyDescent="0.3">
      <c r="AC167" s="1">
        <v>31229</v>
      </c>
      <c r="AD167" s="2">
        <v>117.1</v>
      </c>
      <c r="AE167" s="2">
        <v>6942.5</v>
      </c>
      <c r="AF167" s="2">
        <f t="shared" si="19"/>
        <v>1.6867122794382428</v>
      </c>
      <c r="AG167" s="2">
        <v>-0.1</v>
      </c>
    </row>
    <row r="168" spans="29:33" x14ac:dyDescent="0.3">
      <c r="AC168" s="1">
        <v>31321</v>
      </c>
      <c r="AD168" s="2">
        <v>57.4</v>
      </c>
      <c r="AE168" s="2">
        <v>7000.4</v>
      </c>
      <c r="AF168" s="2">
        <f t="shared" si="19"/>
        <v>0.81995314553454091</v>
      </c>
      <c r="AG168" s="2">
        <v>-0.2</v>
      </c>
    </row>
    <row r="169" spans="29:33" x14ac:dyDescent="0.3">
      <c r="AC169" s="1">
        <v>31413</v>
      </c>
      <c r="AD169" s="2">
        <v>71.400000000000006</v>
      </c>
      <c r="AE169" s="2">
        <v>7057.2</v>
      </c>
      <c r="AF169" s="2">
        <f t="shared" si="19"/>
        <v>1.0117326985206598</v>
      </c>
      <c r="AG169" s="2">
        <v>0</v>
      </c>
    </row>
    <row r="170" spans="29:33" x14ac:dyDescent="0.3">
      <c r="AC170" s="1">
        <v>31503</v>
      </c>
      <c r="AD170" s="2">
        <v>35.700000000000003</v>
      </c>
      <c r="AE170" s="2">
        <v>7113.4</v>
      </c>
      <c r="AF170" s="2">
        <f t="shared" si="19"/>
        <v>0.50186971068687281</v>
      </c>
      <c r="AG170" s="2">
        <v>0.2</v>
      </c>
    </row>
    <row r="171" spans="29:33" x14ac:dyDescent="0.3">
      <c r="AC171" s="1">
        <v>31594</v>
      </c>
      <c r="AD171" s="2">
        <v>78.599999999999994</v>
      </c>
      <c r="AE171" s="2">
        <v>7169.4</v>
      </c>
      <c r="AF171" s="2">
        <f t="shared" si="19"/>
        <v>1.0963260523893212</v>
      </c>
      <c r="AG171" s="2">
        <v>-0.2</v>
      </c>
    </row>
    <row r="172" spans="29:33" x14ac:dyDescent="0.3">
      <c r="AC172" s="1">
        <v>31686</v>
      </c>
      <c r="AD172" s="2">
        <v>40.9</v>
      </c>
      <c r="AE172" s="2">
        <v>7225.1</v>
      </c>
      <c r="AF172" s="2">
        <f t="shared" si="19"/>
        <v>0.56608213035113697</v>
      </c>
      <c r="AG172" s="2">
        <v>-0.2</v>
      </c>
    </row>
    <row r="173" spans="29:33" x14ac:dyDescent="0.3">
      <c r="AC173" s="1">
        <v>31778</v>
      </c>
      <c r="AD173" s="2">
        <v>55.4</v>
      </c>
      <c r="AE173" s="2">
        <v>7280.7</v>
      </c>
      <c r="AF173" s="2">
        <f t="shared" si="19"/>
        <v>0.76091584600381834</v>
      </c>
      <c r="AG173" s="2">
        <v>-0.2</v>
      </c>
    </row>
    <row r="174" spans="29:33" x14ac:dyDescent="0.3">
      <c r="AC174" s="1">
        <v>31868</v>
      </c>
      <c r="AD174" s="2">
        <v>89.7</v>
      </c>
      <c r="AE174" s="2">
        <v>7336.2</v>
      </c>
      <c r="AF174" s="2">
        <f t="shared" si="19"/>
        <v>1.2227038521305309</v>
      </c>
      <c r="AG174" s="2">
        <v>-0.3</v>
      </c>
    </row>
    <row r="175" spans="29:33" x14ac:dyDescent="0.3">
      <c r="AC175" s="1">
        <v>31959</v>
      </c>
      <c r="AD175" s="2">
        <v>73.3</v>
      </c>
      <c r="AE175" s="2">
        <v>7391.7</v>
      </c>
      <c r="AF175" s="2">
        <f t="shared" si="19"/>
        <v>0.99165279976189513</v>
      </c>
      <c r="AG175" s="2">
        <v>-0.3</v>
      </c>
    </row>
    <row r="176" spans="29:33" x14ac:dyDescent="0.3">
      <c r="AC176" s="1">
        <v>32051</v>
      </c>
      <c r="AD176" s="2">
        <v>134.4</v>
      </c>
      <c r="AE176" s="2">
        <v>7447.5</v>
      </c>
      <c r="AF176" s="2">
        <f t="shared" si="19"/>
        <v>1.8046324269889225</v>
      </c>
      <c r="AG176" s="2">
        <v>-0.2</v>
      </c>
    </row>
    <row r="177" spans="29:34" x14ac:dyDescent="0.3">
      <c r="AC177" s="1">
        <v>32143</v>
      </c>
      <c r="AD177" s="2">
        <v>46.6</v>
      </c>
      <c r="AE177" s="2">
        <v>7503.7</v>
      </c>
      <c r="AF177" s="2">
        <f t="shared" si="19"/>
        <v>0.62102696003305036</v>
      </c>
      <c r="AG177" s="2">
        <v>-0.1</v>
      </c>
    </row>
    <row r="178" spans="29:34" x14ac:dyDescent="0.3">
      <c r="AC178" s="1">
        <v>32234</v>
      </c>
      <c r="AD178" s="2">
        <v>110.1</v>
      </c>
      <c r="AE178" s="2">
        <v>7560</v>
      </c>
      <c r="AF178" s="2">
        <f t="shared" si="19"/>
        <v>1.4563492063492063</v>
      </c>
      <c r="AG178" s="2">
        <v>-0.2</v>
      </c>
    </row>
    <row r="179" spans="29:34" x14ac:dyDescent="0.3">
      <c r="AC179" s="1">
        <v>32325</v>
      </c>
      <c r="AD179" s="2">
        <v>48.7</v>
      </c>
      <c r="AE179" s="2">
        <v>7616.7</v>
      </c>
      <c r="AF179" s="2">
        <f t="shared" si="19"/>
        <v>0.6393845103522523</v>
      </c>
      <c r="AG179" s="2">
        <v>0</v>
      </c>
    </row>
    <row r="180" spans="29:34" x14ac:dyDescent="0.3">
      <c r="AC180" s="1">
        <v>32417</v>
      </c>
      <c r="AD180" s="2">
        <v>112.4</v>
      </c>
      <c r="AE180" s="2">
        <v>7673.6</v>
      </c>
      <c r="AF180" s="2">
        <f t="shared" si="19"/>
        <v>1.4647623019182652</v>
      </c>
      <c r="AG180" s="2">
        <v>-0.2</v>
      </c>
    </row>
    <row r="181" spans="29:34" x14ac:dyDescent="0.3">
      <c r="AC181" s="1">
        <v>32509</v>
      </c>
      <c r="AD181" s="2">
        <v>86.8</v>
      </c>
      <c r="AE181" s="2">
        <v>7730.9</v>
      </c>
      <c r="AF181" s="2">
        <f t="shared" si="19"/>
        <v>1.1227670775718221</v>
      </c>
      <c r="AG181" s="2">
        <v>-0.1</v>
      </c>
    </row>
    <row r="182" spans="29:34" x14ac:dyDescent="0.3">
      <c r="AC182" s="1">
        <v>32599</v>
      </c>
      <c r="AD182" s="2">
        <v>68.3</v>
      </c>
      <c r="AE182" s="2">
        <v>7789.1</v>
      </c>
      <c r="AF182" s="2">
        <f t="shared" si="19"/>
        <v>0.87686639021196278</v>
      </c>
      <c r="AG182" s="2">
        <v>0</v>
      </c>
    </row>
    <row r="183" spans="29:34" x14ac:dyDescent="0.3">
      <c r="AC183" s="1">
        <v>32690</v>
      </c>
      <c r="AD183" s="2">
        <v>65.400000000000006</v>
      </c>
      <c r="AE183" s="2">
        <v>7847.5</v>
      </c>
      <c r="AF183" s="2">
        <f t="shared" si="19"/>
        <v>0.83338642879898073</v>
      </c>
      <c r="AG183" s="2">
        <v>0</v>
      </c>
    </row>
    <row r="184" spans="29:34" x14ac:dyDescent="0.3">
      <c r="AC184" s="1">
        <v>32782</v>
      </c>
      <c r="AD184" s="2">
        <v>18.600000000000001</v>
      </c>
      <c r="AE184" s="2">
        <v>7906</v>
      </c>
      <c r="AF184" s="2">
        <f t="shared" si="19"/>
        <v>0.23526435618517585</v>
      </c>
      <c r="AG184" s="2">
        <v>0.2</v>
      </c>
      <c r="AH184" s="29" t="s">
        <v>64</v>
      </c>
    </row>
    <row r="185" spans="29:34" x14ac:dyDescent="0.3">
      <c r="AC185" s="1">
        <v>32874</v>
      </c>
      <c r="AD185" s="2">
        <v>96.8</v>
      </c>
      <c r="AE185" s="2">
        <v>7964.7</v>
      </c>
      <c r="AF185" s="2">
        <f t="shared" si="19"/>
        <v>1.2153627883033888</v>
      </c>
      <c r="AG185" s="2">
        <v>-0.1</v>
      </c>
      <c r="AH185" s="2">
        <v>5.3</v>
      </c>
    </row>
    <row r="186" spans="29:34" x14ac:dyDescent="0.3">
      <c r="AC186" s="1">
        <v>32964</v>
      </c>
      <c r="AD186" s="2">
        <v>34.6</v>
      </c>
      <c r="AE186" s="2">
        <v>8023.2</v>
      </c>
      <c r="AF186" s="2">
        <f t="shared" si="19"/>
        <v>0.43124937680725894</v>
      </c>
      <c r="AG186" s="2">
        <v>0</v>
      </c>
      <c r="AH186" s="2">
        <v>5.3</v>
      </c>
    </row>
    <row r="187" spans="29:34" x14ac:dyDescent="0.3">
      <c r="AC187" s="1">
        <v>33055</v>
      </c>
      <c r="AD187" s="2">
        <v>2.2000000000000002</v>
      </c>
      <c r="AE187" s="2">
        <v>8081.3</v>
      </c>
      <c r="AF187" s="2">
        <f t="shared" si="19"/>
        <v>2.7223342779008331E-2</v>
      </c>
      <c r="AG187" s="2">
        <v>0.4</v>
      </c>
      <c r="AH187" s="2">
        <v>5.7</v>
      </c>
    </row>
    <row r="188" spans="29:34" x14ac:dyDescent="0.3">
      <c r="AC188" s="1">
        <v>33147</v>
      </c>
      <c r="AD188" s="2">
        <v>-76.5</v>
      </c>
      <c r="AE188" s="2">
        <v>8138.9</v>
      </c>
      <c r="AF188" s="2">
        <f t="shared" si="19"/>
        <v>-0.93993045743282266</v>
      </c>
      <c r="AG188" s="2">
        <v>0.4</v>
      </c>
      <c r="AH188" s="2">
        <v>6.1</v>
      </c>
    </row>
    <row r="189" spans="29:34" x14ac:dyDescent="0.3">
      <c r="AC189" s="1">
        <v>33239</v>
      </c>
      <c r="AD189" s="2">
        <v>-41.7</v>
      </c>
      <c r="AE189" s="2">
        <v>8195.2999999999993</v>
      </c>
      <c r="AF189" s="2">
        <f t="shared" si="19"/>
        <v>-0.50882823081522344</v>
      </c>
      <c r="AG189" s="2">
        <v>0.5</v>
      </c>
      <c r="AH189" s="2">
        <v>6.6</v>
      </c>
    </row>
    <row r="190" spans="29:34" x14ac:dyDescent="0.3">
      <c r="AC190" s="1">
        <v>33329</v>
      </c>
      <c r="AD190" s="2">
        <v>68.8</v>
      </c>
      <c r="AE190" s="2">
        <v>8250.4</v>
      </c>
      <c r="AF190" s="2">
        <f t="shared" si="19"/>
        <v>0.83389896247454676</v>
      </c>
      <c r="AG190" s="2">
        <v>0.2</v>
      </c>
      <c r="AH190" s="2">
        <v>6.8</v>
      </c>
    </row>
    <row r="191" spans="29:34" x14ac:dyDescent="0.3">
      <c r="AC191" s="1">
        <v>33420</v>
      </c>
      <c r="AD191" s="2">
        <v>42.8</v>
      </c>
      <c r="AE191" s="2">
        <v>8304.9</v>
      </c>
      <c r="AF191" s="2">
        <f t="shared" si="19"/>
        <v>0.51535840287059453</v>
      </c>
      <c r="AG191" s="2">
        <v>0.1</v>
      </c>
      <c r="AH191" s="2">
        <v>6.9</v>
      </c>
    </row>
    <row r="192" spans="29:34" x14ac:dyDescent="0.3">
      <c r="AC192" s="1">
        <v>33512</v>
      </c>
      <c r="AD192" s="2">
        <v>39.1</v>
      </c>
      <c r="AE192" s="2">
        <v>8359.1</v>
      </c>
      <c r="AF192" s="2">
        <f t="shared" si="19"/>
        <v>0.46775370554246271</v>
      </c>
      <c r="AG192" s="2">
        <v>0.2</v>
      </c>
      <c r="AH192" s="2">
        <v>7.1</v>
      </c>
    </row>
    <row r="193" spans="29:34" x14ac:dyDescent="0.3">
      <c r="AC193" s="1">
        <v>33604</v>
      </c>
      <c r="AD193" s="2">
        <v>106.4</v>
      </c>
      <c r="AE193" s="2">
        <v>8413.2000000000007</v>
      </c>
      <c r="AF193" s="2">
        <f t="shared" si="19"/>
        <v>1.2646793134598011</v>
      </c>
      <c r="AG193" s="2">
        <v>0.3</v>
      </c>
      <c r="AH193" s="2">
        <v>7.4</v>
      </c>
    </row>
    <row r="194" spans="29:34" x14ac:dyDescent="0.3">
      <c r="AC194" s="1">
        <v>33695</v>
      </c>
      <c r="AD194" s="2">
        <v>100.5</v>
      </c>
      <c r="AE194" s="2">
        <v>8467.4</v>
      </c>
      <c r="AF194" s="2">
        <f t="shared" si="19"/>
        <v>1.1869050712143043</v>
      </c>
      <c r="AG194" s="2">
        <v>0.2</v>
      </c>
      <c r="AH194" s="2">
        <v>7.6</v>
      </c>
    </row>
    <row r="195" spans="29:34" x14ac:dyDescent="0.3">
      <c r="AC195" s="1">
        <v>33786</v>
      </c>
      <c r="AD195" s="2">
        <v>89.6</v>
      </c>
      <c r="AE195" s="2">
        <v>8522</v>
      </c>
      <c r="AF195" s="2">
        <f t="shared" si="19"/>
        <v>1.0513963858249238</v>
      </c>
      <c r="AG195" s="2">
        <v>0</v>
      </c>
      <c r="AH195" s="2">
        <v>7.6</v>
      </c>
    </row>
    <row r="196" spans="29:34" x14ac:dyDescent="0.3">
      <c r="AC196" s="1">
        <v>33878</v>
      </c>
      <c r="AD196" s="2">
        <v>93.2</v>
      </c>
      <c r="AE196" s="2">
        <v>8577.4</v>
      </c>
      <c r="AF196" s="2">
        <f t="shared" si="19"/>
        <v>1.0865763518082403</v>
      </c>
      <c r="AG196" s="2">
        <v>-0.2</v>
      </c>
      <c r="AH196" s="2">
        <v>7.4</v>
      </c>
    </row>
    <row r="197" spans="29:34" x14ac:dyDescent="0.3">
      <c r="AC197" s="1">
        <v>33970</v>
      </c>
      <c r="AD197" s="2">
        <v>17.5</v>
      </c>
      <c r="AE197" s="2">
        <v>8634.5</v>
      </c>
      <c r="AF197" s="2">
        <f t="shared" si="19"/>
        <v>0.20267531414673692</v>
      </c>
      <c r="AG197" s="2">
        <v>-0.3</v>
      </c>
      <c r="AH197" s="2">
        <v>7.1</v>
      </c>
    </row>
    <row r="198" spans="29:34" x14ac:dyDescent="0.3">
      <c r="AC198" s="1">
        <v>34060</v>
      </c>
      <c r="AD198" s="2">
        <v>55.9</v>
      </c>
      <c r="AE198" s="2">
        <v>8692.7999999999993</v>
      </c>
      <c r="AF198" s="2">
        <f t="shared" si="19"/>
        <v>0.64306092398306647</v>
      </c>
      <c r="AG198" s="2">
        <v>0</v>
      </c>
      <c r="AH198" s="2">
        <v>7.1</v>
      </c>
    </row>
    <row r="199" spans="29:34" x14ac:dyDescent="0.3">
      <c r="AC199" s="1">
        <v>34151</v>
      </c>
      <c r="AD199" s="2">
        <v>46.2</v>
      </c>
      <c r="AE199" s="2">
        <v>8752.4</v>
      </c>
      <c r="AF199" s="2">
        <f t="shared" si="19"/>
        <v>0.52785521685480552</v>
      </c>
      <c r="AG199" s="2">
        <v>-0.3</v>
      </c>
      <c r="AH199" s="2">
        <v>6.8</v>
      </c>
    </row>
    <row r="200" spans="29:34" x14ac:dyDescent="0.3">
      <c r="AC200" s="1">
        <v>34243</v>
      </c>
      <c r="AD200" s="2">
        <v>127</v>
      </c>
      <c r="AE200" s="2">
        <v>8813.2000000000007</v>
      </c>
      <c r="AF200" s="2">
        <f t="shared" si="19"/>
        <v>1.4410202877501928</v>
      </c>
      <c r="AG200" s="2">
        <v>-0.2</v>
      </c>
      <c r="AH200" s="2">
        <v>6.6</v>
      </c>
    </row>
    <row r="201" spans="29:34" x14ac:dyDescent="0.3">
      <c r="AC201" s="1">
        <v>34335</v>
      </c>
      <c r="AD201" s="2">
        <v>94.5</v>
      </c>
      <c r="AE201" s="2">
        <v>8875.2999999999993</v>
      </c>
      <c r="AF201" s="2">
        <f t="shared" si="19"/>
        <v>1.0647527407524253</v>
      </c>
      <c r="AG201" s="2">
        <v>0</v>
      </c>
      <c r="AH201" s="2">
        <v>6.6</v>
      </c>
    </row>
    <row r="202" spans="29:34" x14ac:dyDescent="0.3">
      <c r="AC202" s="1">
        <v>34425</v>
      </c>
      <c r="AD202" s="2">
        <v>133.1</v>
      </c>
      <c r="AE202" s="2">
        <v>8938.6</v>
      </c>
      <c r="AF202" s="2">
        <f t="shared" si="19"/>
        <v>1.4890475018459266</v>
      </c>
      <c r="AG202" s="2">
        <v>-0.4</v>
      </c>
      <c r="AH202" s="2">
        <v>6.2</v>
      </c>
    </row>
    <row r="203" spans="29:34" x14ac:dyDescent="0.3">
      <c r="AC203" s="1">
        <v>34516</v>
      </c>
      <c r="AD203" s="2">
        <v>58.2</v>
      </c>
      <c r="AE203" s="2">
        <v>9003</v>
      </c>
      <c r="AF203" s="2">
        <f t="shared" si="19"/>
        <v>0.64645118293902037</v>
      </c>
      <c r="AG203" s="2">
        <v>-0.2</v>
      </c>
      <c r="AH203" s="2">
        <v>6</v>
      </c>
    </row>
    <row r="204" spans="29:34" x14ac:dyDescent="0.3">
      <c r="AC204" s="1">
        <v>34608</v>
      </c>
      <c r="AD204" s="2">
        <v>112.7</v>
      </c>
      <c r="AE204" s="2">
        <v>9068.6</v>
      </c>
      <c r="AF204" s="2">
        <f t="shared" si="19"/>
        <v>1.2427497077828993</v>
      </c>
      <c r="AG204" s="2">
        <v>-0.4</v>
      </c>
      <c r="AH204" s="2">
        <v>5.6</v>
      </c>
    </row>
    <row r="205" spans="29:34" x14ac:dyDescent="0.3">
      <c r="AC205" s="1">
        <v>34700</v>
      </c>
      <c r="AD205" s="2">
        <v>34.299999999999997</v>
      </c>
      <c r="AE205" s="2">
        <v>9135.2000000000007</v>
      </c>
      <c r="AF205" s="2">
        <f t="shared" si="19"/>
        <v>0.37547070671687532</v>
      </c>
      <c r="AG205" s="2">
        <v>-0.1</v>
      </c>
      <c r="AH205" s="2">
        <v>5.5</v>
      </c>
    </row>
    <row r="206" spans="29:34" x14ac:dyDescent="0.3">
      <c r="AC206" s="1">
        <v>34790</v>
      </c>
      <c r="AD206" s="2">
        <v>35.200000000000003</v>
      </c>
      <c r="AE206" s="2">
        <v>9203.2000000000007</v>
      </c>
      <c r="AF206" s="2">
        <f t="shared" si="19"/>
        <v>0.3824756606397775</v>
      </c>
      <c r="AG206" s="2">
        <v>0.2</v>
      </c>
      <c r="AH206" s="2">
        <v>5.7</v>
      </c>
    </row>
    <row r="207" spans="29:34" x14ac:dyDescent="0.3">
      <c r="AC207" s="1">
        <v>34881</v>
      </c>
      <c r="AD207" s="2">
        <v>86.6</v>
      </c>
      <c r="AE207" s="2">
        <v>9272.2999999999993</v>
      </c>
      <c r="AF207" s="2">
        <f t="shared" si="19"/>
        <v>0.9339646042513724</v>
      </c>
      <c r="AG207" s="2">
        <v>0</v>
      </c>
      <c r="AH207" s="2">
        <v>5.7</v>
      </c>
    </row>
    <row r="208" spans="29:34" x14ac:dyDescent="0.3">
      <c r="AC208" s="1">
        <v>34973</v>
      </c>
      <c r="AD208" s="2">
        <v>72.400000000000006</v>
      </c>
      <c r="AE208" s="2">
        <v>9342.7000000000007</v>
      </c>
      <c r="AF208" s="2">
        <f t="shared" si="19"/>
        <v>0.7749365815021354</v>
      </c>
      <c r="AG208" s="2">
        <v>-0.1</v>
      </c>
      <c r="AH208" s="2">
        <v>5.6</v>
      </c>
    </row>
    <row r="209" spans="29:34" x14ac:dyDescent="0.3">
      <c r="AC209" s="1">
        <v>35065</v>
      </c>
      <c r="AD209" s="2">
        <v>67.3</v>
      </c>
      <c r="AE209" s="2">
        <v>9414.5</v>
      </c>
      <c r="AF209" s="2">
        <f t="shared" si="19"/>
        <v>0.71485474533963567</v>
      </c>
      <c r="AG209" s="2">
        <v>-0.1</v>
      </c>
      <c r="AH209" s="2">
        <v>5.5</v>
      </c>
    </row>
    <row r="210" spans="29:34" x14ac:dyDescent="0.3">
      <c r="AC210" s="1">
        <v>35156</v>
      </c>
      <c r="AD210" s="2">
        <v>180.5</v>
      </c>
      <c r="AE210" s="2">
        <v>9487.1</v>
      </c>
      <c r="AF210" s="2">
        <f t="shared" si="19"/>
        <v>1.902583508132095</v>
      </c>
      <c r="AG210" s="2">
        <v>0</v>
      </c>
      <c r="AH210" s="2">
        <v>5.5</v>
      </c>
    </row>
    <row r="211" spans="29:34" x14ac:dyDescent="0.3">
      <c r="AC211" s="1">
        <v>35247</v>
      </c>
      <c r="AD211" s="2">
        <v>97.3</v>
      </c>
      <c r="AE211" s="2">
        <v>9561</v>
      </c>
      <c r="AF211" s="2">
        <f t="shared" si="19"/>
        <v>1.0176759753163895</v>
      </c>
      <c r="AG211" s="2">
        <v>-0.2</v>
      </c>
      <c r="AH211" s="2">
        <v>5.3</v>
      </c>
    </row>
    <row r="212" spans="29:34" x14ac:dyDescent="0.3">
      <c r="AC212" s="1">
        <v>35339</v>
      </c>
      <c r="AD212" s="2">
        <v>112.2</v>
      </c>
      <c r="AE212" s="2">
        <v>9636.2999999999993</v>
      </c>
      <c r="AF212" s="2">
        <f t="shared" si="19"/>
        <v>1.1643473117275303</v>
      </c>
      <c r="AG212" s="2">
        <v>0</v>
      </c>
      <c r="AH212" s="2">
        <v>5.3</v>
      </c>
    </row>
    <row r="213" spans="29:34" x14ac:dyDescent="0.3">
      <c r="AC213" s="1">
        <v>35431</v>
      </c>
      <c r="AD213" s="2">
        <v>81.7</v>
      </c>
      <c r="AE213" s="2">
        <v>9713.1</v>
      </c>
      <c r="AF213" s="2">
        <f t="shared" si="19"/>
        <v>0.84113207935674494</v>
      </c>
      <c r="AG213" s="2">
        <v>-0.1</v>
      </c>
      <c r="AH213" s="2">
        <v>5.2</v>
      </c>
    </row>
    <row r="214" spans="29:34" x14ac:dyDescent="0.3">
      <c r="AC214" s="1">
        <v>35521</v>
      </c>
      <c r="AD214" s="2">
        <v>163.1</v>
      </c>
      <c r="AE214" s="2">
        <v>9791.6</v>
      </c>
      <c r="AF214" s="2">
        <f t="shared" ref="AF214:AF277" si="20">100*AD214/AE214</f>
        <v>1.6657134686874464</v>
      </c>
      <c r="AG214" s="2">
        <v>-0.2</v>
      </c>
      <c r="AH214" s="2">
        <v>5</v>
      </c>
    </row>
    <row r="215" spans="29:34" x14ac:dyDescent="0.3">
      <c r="AC215" s="1">
        <v>35612</v>
      </c>
      <c r="AD215" s="2">
        <v>139.80000000000001</v>
      </c>
      <c r="AE215" s="2">
        <v>9871.7000000000007</v>
      </c>
      <c r="AF215" s="2">
        <f t="shared" si="20"/>
        <v>1.4161694540960523</v>
      </c>
      <c r="AG215" s="2">
        <v>-0.1</v>
      </c>
      <c r="AH215" s="2">
        <v>4.9000000000000004</v>
      </c>
    </row>
    <row r="216" spans="29:34" x14ac:dyDescent="0.3">
      <c r="AC216" s="1">
        <v>35704</v>
      </c>
      <c r="AD216" s="2">
        <v>86.2</v>
      </c>
      <c r="AE216" s="2">
        <v>9953.6</v>
      </c>
      <c r="AF216" s="2">
        <f t="shared" si="20"/>
        <v>0.86601832502813048</v>
      </c>
      <c r="AG216" s="2">
        <v>-0.2</v>
      </c>
      <c r="AH216" s="2">
        <v>4.7</v>
      </c>
    </row>
    <row r="217" spans="29:34" x14ac:dyDescent="0.3">
      <c r="AC217" s="1">
        <v>35796</v>
      </c>
      <c r="AD217" s="2">
        <v>110.8</v>
      </c>
      <c r="AE217" s="2">
        <v>10037.5</v>
      </c>
      <c r="AF217" s="2">
        <f t="shared" si="20"/>
        <v>1.1038605230386052</v>
      </c>
      <c r="AG217" s="2">
        <v>-0.1</v>
      </c>
      <c r="AH217" s="2">
        <v>4.5999999999999996</v>
      </c>
    </row>
    <row r="218" spans="29:34" x14ac:dyDescent="0.3">
      <c r="AC218" s="1">
        <v>35886</v>
      </c>
      <c r="AD218" s="2">
        <v>109.7</v>
      </c>
      <c r="AE218" s="2">
        <v>10123.200000000001</v>
      </c>
      <c r="AF218" s="2">
        <f t="shared" si="20"/>
        <v>1.0836494389125968</v>
      </c>
      <c r="AG218" s="2">
        <v>-0.2</v>
      </c>
      <c r="AH218" s="2">
        <v>4.4000000000000004</v>
      </c>
    </row>
    <row r="219" spans="29:34" x14ac:dyDescent="0.3">
      <c r="AC219" s="1">
        <v>35977</v>
      </c>
      <c r="AD219" s="2">
        <v>149.4</v>
      </c>
      <c r="AE219" s="2">
        <v>10210.5</v>
      </c>
      <c r="AF219" s="2">
        <f t="shared" si="20"/>
        <v>1.4631996474217717</v>
      </c>
      <c r="AG219" s="2">
        <v>0.1</v>
      </c>
      <c r="AH219" s="2">
        <v>4.5</v>
      </c>
    </row>
    <row r="220" spans="29:34" x14ac:dyDescent="0.3">
      <c r="AC220" s="1">
        <v>36069</v>
      </c>
      <c r="AD220" s="2">
        <v>189.8</v>
      </c>
      <c r="AE220" s="2">
        <v>10299.200000000001</v>
      </c>
      <c r="AF220" s="2">
        <f t="shared" si="20"/>
        <v>1.8428615814820568</v>
      </c>
      <c r="AG220" s="2">
        <v>-0.1</v>
      </c>
      <c r="AH220" s="2">
        <v>4.4000000000000004</v>
      </c>
    </row>
    <row r="221" spans="29:34" x14ac:dyDescent="0.3">
      <c r="AC221" s="1">
        <v>36161</v>
      </c>
      <c r="AD221" s="2">
        <v>109.9</v>
      </c>
      <c r="AE221" s="2">
        <v>10389.1</v>
      </c>
      <c r="AF221" s="2">
        <f t="shared" si="20"/>
        <v>1.0578394663637851</v>
      </c>
      <c r="AG221" s="2">
        <v>-0.1</v>
      </c>
      <c r="AH221" s="2">
        <v>4.3</v>
      </c>
    </row>
    <row r="222" spans="29:34" x14ac:dyDescent="0.3">
      <c r="AC222" s="1">
        <v>36251</v>
      </c>
      <c r="AD222" s="2">
        <v>99.9</v>
      </c>
      <c r="AE222" s="2">
        <v>10480.200000000001</v>
      </c>
      <c r="AF222" s="2">
        <f t="shared" si="20"/>
        <v>0.95322608347168936</v>
      </c>
      <c r="AG222" s="2">
        <v>0</v>
      </c>
      <c r="AH222" s="2">
        <v>4.3</v>
      </c>
    </row>
    <row r="223" spans="29:34" x14ac:dyDescent="0.3">
      <c r="AC223" s="1">
        <v>36342</v>
      </c>
      <c r="AD223" s="2">
        <v>152.4</v>
      </c>
      <c r="AE223" s="2">
        <v>10572.6</v>
      </c>
      <c r="AF223" s="2">
        <f t="shared" si="20"/>
        <v>1.4414618920606095</v>
      </c>
      <c r="AG223" s="2">
        <v>-0.1</v>
      </c>
      <c r="AH223" s="2">
        <v>4.2</v>
      </c>
    </row>
    <row r="224" spans="29:34" x14ac:dyDescent="0.3">
      <c r="AC224" s="1">
        <v>36434</v>
      </c>
      <c r="AD224" s="2">
        <v>209.7</v>
      </c>
      <c r="AE224" s="2">
        <v>10666.4</v>
      </c>
      <c r="AF224" s="2">
        <f t="shared" si="20"/>
        <v>1.9659866496662417</v>
      </c>
      <c r="AG224" s="2">
        <v>-0.1</v>
      </c>
      <c r="AH224" s="2">
        <v>4.0999999999999996</v>
      </c>
    </row>
    <row r="225" spans="29:34" x14ac:dyDescent="0.3">
      <c r="AC225" s="1">
        <v>36526</v>
      </c>
      <c r="AD225" s="2">
        <v>35.4</v>
      </c>
      <c r="AE225" s="2">
        <v>10761.6</v>
      </c>
      <c r="AF225" s="2">
        <f t="shared" si="20"/>
        <v>0.3289473684210526</v>
      </c>
      <c r="AG225" s="2">
        <v>-0.1</v>
      </c>
      <c r="AH225" s="2">
        <v>4</v>
      </c>
    </row>
    <row r="226" spans="29:34" x14ac:dyDescent="0.3">
      <c r="AC226" s="1">
        <v>36617</v>
      </c>
      <c r="AD226" s="2">
        <v>233.5</v>
      </c>
      <c r="AE226" s="2">
        <v>10859.8</v>
      </c>
      <c r="AF226" s="2">
        <f t="shared" si="20"/>
        <v>2.1501316782997848</v>
      </c>
      <c r="AG226" s="2">
        <v>-0.1</v>
      </c>
      <c r="AH226" s="2">
        <v>3.9</v>
      </c>
    </row>
    <row r="227" spans="29:34" x14ac:dyDescent="0.3">
      <c r="AC227" s="1">
        <v>36708</v>
      </c>
      <c r="AD227" s="2">
        <v>16.100000000000001</v>
      </c>
      <c r="AE227" s="2">
        <v>10958.9</v>
      </c>
      <c r="AF227" s="2">
        <f t="shared" si="20"/>
        <v>0.14691255509220819</v>
      </c>
      <c r="AG227" s="2">
        <v>0.1</v>
      </c>
      <c r="AH227" s="2">
        <v>4</v>
      </c>
    </row>
    <row r="228" spans="29:34" x14ac:dyDescent="0.3">
      <c r="AC228" s="1">
        <v>36800</v>
      </c>
      <c r="AD228" s="2">
        <v>67.2</v>
      </c>
      <c r="AE228" s="2">
        <v>11058.5</v>
      </c>
      <c r="AF228" s="2">
        <f t="shared" si="20"/>
        <v>0.60767735226296515</v>
      </c>
      <c r="AG228" s="2">
        <v>-0.1</v>
      </c>
      <c r="AH228" s="2">
        <v>3.9</v>
      </c>
    </row>
    <row r="229" spans="29:34" x14ac:dyDescent="0.3">
      <c r="AC229" s="1">
        <v>36892</v>
      </c>
      <c r="AD229" s="2">
        <v>-36.299999999999997</v>
      </c>
      <c r="AE229" s="2">
        <v>11158.1</v>
      </c>
      <c r="AF229" s="2">
        <f t="shared" si="20"/>
        <v>-0.32532420394153122</v>
      </c>
      <c r="AG229" s="2">
        <v>0.3</v>
      </c>
      <c r="AH229" s="2">
        <v>4.2</v>
      </c>
    </row>
    <row r="230" spans="29:34" x14ac:dyDescent="0.3">
      <c r="AC230" s="1">
        <v>36982</v>
      </c>
      <c r="AD230" s="2">
        <v>67.099999999999994</v>
      </c>
      <c r="AE230" s="2">
        <v>11256.6</v>
      </c>
      <c r="AF230" s="2">
        <f t="shared" si="20"/>
        <v>0.59609473553293169</v>
      </c>
      <c r="AG230" s="2">
        <v>0.2</v>
      </c>
      <c r="AH230" s="2">
        <v>4.4000000000000004</v>
      </c>
    </row>
    <row r="231" spans="29:34" x14ac:dyDescent="0.3">
      <c r="AC231" s="1">
        <v>37073</v>
      </c>
      <c r="AD231" s="2">
        <v>-38.700000000000003</v>
      </c>
      <c r="AE231" s="2">
        <v>11353.9</v>
      </c>
      <c r="AF231" s="2">
        <f t="shared" si="20"/>
        <v>-0.340852042029611</v>
      </c>
      <c r="AG231" s="2">
        <v>0.4</v>
      </c>
      <c r="AH231" s="2">
        <v>4.8</v>
      </c>
    </row>
    <row r="232" spans="29:34" x14ac:dyDescent="0.3">
      <c r="AC232" s="1">
        <v>37165</v>
      </c>
      <c r="AD232" s="2">
        <v>31.1</v>
      </c>
      <c r="AE232" s="2">
        <v>11449.4</v>
      </c>
      <c r="AF232" s="2">
        <f t="shared" si="20"/>
        <v>0.27162995440809129</v>
      </c>
      <c r="AG232" s="2">
        <v>0.7</v>
      </c>
      <c r="AH232" s="2">
        <v>5.5</v>
      </c>
    </row>
    <row r="233" spans="29:34" x14ac:dyDescent="0.3">
      <c r="AC233" s="1">
        <v>37257</v>
      </c>
      <c r="AD233" s="2">
        <v>119.4</v>
      </c>
      <c r="AE233" s="2">
        <v>11541.1</v>
      </c>
      <c r="AF233" s="2">
        <f t="shared" si="20"/>
        <v>1.0345634298290458</v>
      </c>
      <c r="AG233" s="2">
        <v>0.2</v>
      </c>
      <c r="AH233" s="2">
        <v>5.7</v>
      </c>
    </row>
    <row r="234" spans="29:34" x14ac:dyDescent="0.3">
      <c r="AC234" s="1">
        <v>37347</v>
      </c>
      <c r="AD234" s="2">
        <v>70.099999999999994</v>
      </c>
      <c r="AE234" s="2">
        <v>11631.5</v>
      </c>
      <c r="AF234" s="2">
        <f t="shared" si="20"/>
        <v>0.60267377380389453</v>
      </c>
      <c r="AG234" s="2">
        <v>0.1</v>
      </c>
      <c r="AH234" s="2">
        <v>5.8</v>
      </c>
    </row>
    <row r="235" spans="29:34" x14ac:dyDescent="0.3">
      <c r="AC235" s="1">
        <v>37438</v>
      </c>
      <c r="AD235" s="2">
        <v>62</v>
      </c>
      <c r="AE235" s="2">
        <v>11719.6</v>
      </c>
      <c r="AF235" s="2">
        <f t="shared" si="20"/>
        <v>0.52902829448104027</v>
      </c>
      <c r="AG235" s="2">
        <v>-0.1</v>
      </c>
      <c r="AH235" s="2">
        <v>5.7</v>
      </c>
    </row>
    <row r="236" spans="29:34" x14ac:dyDescent="0.3">
      <c r="AC236" s="1">
        <v>37530</v>
      </c>
      <c r="AD236" s="2">
        <v>6.2</v>
      </c>
      <c r="AE236" s="2">
        <v>11805.1</v>
      </c>
      <c r="AF236" s="2">
        <f t="shared" si="20"/>
        <v>5.251967370034985E-2</v>
      </c>
      <c r="AG236" s="2">
        <v>0.2</v>
      </c>
      <c r="AH236" s="2">
        <v>5.9</v>
      </c>
    </row>
    <row r="237" spans="29:34" x14ac:dyDescent="0.3">
      <c r="AC237" s="1">
        <v>37622</v>
      </c>
      <c r="AD237" s="2">
        <v>65.7</v>
      </c>
      <c r="AE237" s="2">
        <v>11888.3</v>
      </c>
      <c r="AF237" s="2">
        <f t="shared" si="20"/>
        <v>0.55264419639477469</v>
      </c>
      <c r="AG237" s="2">
        <v>0</v>
      </c>
      <c r="AH237" s="2">
        <v>5.9</v>
      </c>
    </row>
    <row r="238" spans="29:34" x14ac:dyDescent="0.3">
      <c r="AC238" s="1">
        <v>37712</v>
      </c>
      <c r="AD238" s="2">
        <v>123.2</v>
      </c>
      <c r="AE238" s="2">
        <v>11966.9</v>
      </c>
      <c r="AF238" s="2">
        <f t="shared" si="20"/>
        <v>1.0295063884548212</v>
      </c>
      <c r="AG238" s="2">
        <v>0.2</v>
      </c>
      <c r="AH238" s="2">
        <v>6.1</v>
      </c>
    </row>
    <row r="239" spans="29:34" x14ac:dyDescent="0.3">
      <c r="AC239" s="1">
        <v>37803</v>
      </c>
      <c r="AD239" s="2">
        <v>222.2</v>
      </c>
      <c r="AE239" s="2">
        <v>12042.9</v>
      </c>
      <c r="AF239" s="2">
        <f t="shared" si="20"/>
        <v>1.8450705394879972</v>
      </c>
      <c r="AG239" s="2">
        <v>0</v>
      </c>
      <c r="AH239" s="2">
        <v>6.1</v>
      </c>
    </row>
    <row r="240" spans="29:34" x14ac:dyDescent="0.3">
      <c r="AC240" s="1">
        <v>37895</v>
      </c>
      <c r="AD240" s="2">
        <v>151.69999999999999</v>
      </c>
      <c r="AE240" s="2">
        <v>12116.4</v>
      </c>
      <c r="AF240" s="2">
        <f t="shared" si="20"/>
        <v>1.2520220527549435</v>
      </c>
      <c r="AG240" s="2">
        <v>-0.3</v>
      </c>
      <c r="AH240" s="2">
        <v>5.8</v>
      </c>
    </row>
    <row r="241" spans="29:34" x14ac:dyDescent="0.3">
      <c r="AC241" s="1">
        <v>37987</v>
      </c>
      <c r="AD241" s="2">
        <v>80.900000000000006</v>
      </c>
      <c r="AE241" s="2">
        <v>12187.1</v>
      </c>
      <c r="AF241" s="2">
        <f t="shared" si="20"/>
        <v>0.66381665859802585</v>
      </c>
      <c r="AG241" s="2">
        <v>-0.1</v>
      </c>
      <c r="AH241" s="2">
        <v>5.7</v>
      </c>
    </row>
    <row r="242" spans="29:34" x14ac:dyDescent="0.3">
      <c r="AC242" s="1">
        <v>38078</v>
      </c>
      <c r="AD242" s="2">
        <v>104.1</v>
      </c>
      <c r="AE242" s="2">
        <v>12256.1</v>
      </c>
      <c r="AF242" s="2">
        <f t="shared" si="20"/>
        <v>0.84937296529891237</v>
      </c>
      <c r="AG242" s="2">
        <v>-0.1</v>
      </c>
      <c r="AH242" s="2">
        <v>5.6</v>
      </c>
    </row>
    <row r="243" spans="29:34" x14ac:dyDescent="0.3">
      <c r="AC243" s="1">
        <v>38169</v>
      </c>
      <c r="AD243" s="2">
        <v>120.3</v>
      </c>
      <c r="AE243" s="2">
        <v>12324.3</v>
      </c>
      <c r="AF243" s="2">
        <f t="shared" si="20"/>
        <v>0.97612034760594923</v>
      </c>
      <c r="AG243" s="2">
        <v>-0.2</v>
      </c>
      <c r="AH243" s="2">
        <v>5.4</v>
      </c>
    </row>
    <row r="244" spans="29:34" x14ac:dyDescent="0.3">
      <c r="AC244" s="1">
        <v>38261</v>
      </c>
      <c r="AD244" s="2">
        <v>116.7</v>
      </c>
      <c r="AE244" s="2">
        <v>12392.4</v>
      </c>
      <c r="AF244" s="2">
        <f t="shared" si="20"/>
        <v>0.94170620703011521</v>
      </c>
      <c r="AG244" s="2">
        <v>0</v>
      </c>
      <c r="AH244" s="2">
        <v>5.4</v>
      </c>
    </row>
    <row r="245" spans="29:34" x14ac:dyDescent="0.3">
      <c r="AC245" s="1">
        <v>38353</v>
      </c>
      <c r="AD245" s="2">
        <v>152.5</v>
      </c>
      <c r="AE245" s="2">
        <v>12462.5</v>
      </c>
      <c r="AF245" s="2">
        <f t="shared" si="20"/>
        <v>1.2236710130391173</v>
      </c>
      <c r="AG245" s="2">
        <v>-0.1</v>
      </c>
      <c r="AH245" s="2">
        <v>5.3</v>
      </c>
    </row>
    <row r="246" spans="29:34" x14ac:dyDescent="0.3">
      <c r="AC246" s="1">
        <v>38443</v>
      </c>
      <c r="AD246" s="2">
        <v>77</v>
      </c>
      <c r="AE246" s="2">
        <v>12533.1</v>
      </c>
      <c r="AF246" s="2">
        <f t="shared" si="20"/>
        <v>0.61437313992547726</v>
      </c>
      <c r="AG246" s="2">
        <v>-0.2</v>
      </c>
      <c r="AH246" s="2">
        <v>5.0999999999999996</v>
      </c>
    </row>
    <row r="247" spans="29:34" x14ac:dyDescent="0.3">
      <c r="AC247" s="1">
        <v>38534</v>
      </c>
      <c r="AD247" s="2">
        <v>115.7</v>
      </c>
      <c r="AE247" s="2">
        <v>12604.4</v>
      </c>
      <c r="AF247" s="2">
        <f t="shared" si="20"/>
        <v>0.91793342007552925</v>
      </c>
      <c r="AG247" s="2">
        <v>-0.1</v>
      </c>
      <c r="AH247" s="2">
        <v>5</v>
      </c>
    </row>
    <row r="248" spans="29:34" x14ac:dyDescent="0.3">
      <c r="AC248" s="1">
        <v>38626</v>
      </c>
      <c r="AD248" s="2">
        <v>79.099999999999994</v>
      </c>
      <c r="AE248" s="2">
        <v>12676.7</v>
      </c>
      <c r="AF248" s="2">
        <f t="shared" si="20"/>
        <v>0.6239794268224379</v>
      </c>
      <c r="AG248" s="2">
        <v>0</v>
      </c>
      <c r="AH248" s="2">
        <v>5</v>
      </c>
    </row>
    <row r="249" spans="29:34" x14ac:dyDescent="0.3">
      <c r="AC249" s="1">
        <v>38718</v>
      </c>
      <c r="AD249" s="2">
        <v>174.4</v>
      </c>
      <c r="AE249" s="2">
        <v>12750.3</v>
      </c>
      <c r="AF249" s="2">
        <f t="shared" si="20"/>
        <v>1.3678109534677616</v>
      </c>
      <c r="AG249" s="2">
        <v>-0.3</v>
      </c>
      <c r="AH249" s="2">
        <v>4.7</v>
      </c>
    </row>
    <row r="250" spans="29:34" x14ac:dyDescent="0.3">
      <c r="AC250" s="1">
        <v>38808</v>
      </c>
      <c r="AD250" s="2">
        <v>45.2</v>
      </c>
      <c r="AE250" s="2">
        <v>12825.8</v>
      </c>
      <c r="AF250" s="2">
        <f t="shared" si="20"/>
        <v>0.35241466419248701</v>
      </c>
      <c r="AG250" s="2">
        <v>-0.1</v>
      </c>
      <c r="AH250" s="2">
        <v>4.5999999999999996</v>
      </c>
    </row>
    <row r="251" spans="29:34" x14ac:dyDescent="0.3">
      <c r="AC251" s="1">
        <v>38899</v>
      </c>
      <c r="AD251" s="2">
        <v>12.8</v>
      </c>
      <c r="AE251" s="2">
        <v>12902.4</v>
      </c>
      <c r="AF251" s="2">
        <f t="shared" si="20"/>
        <v>9.9206349206349215E-2</v>
      </c>
      <c r="AG251" s="2">
        <v>0</v>
      </c>
      <c r="AH251" s="2">
        <v>4.5999999999999996</v>
      </c>
    </row>
    <row r="252" spans="29:34" x14ac:dyDescent="0.3">
      <c r="AC252" s="1">
        <v>38991</v>
      </c>
      <c r="AD252" s="2">
        <v>114</v>
      </c>
      <c r="AE252" s="2">
        <v>12979.9</v>
      </c>
      <c r="AF252" s="2">
        <f t="shared" si="20"/>
        <v>0.87828103452260808</v>
      </c>
      <c r="AG252" s="2">
        <v>-0.2</v>
      </c>
      <c r="AH252" s="2">
        <v>4.4000000000000004</v>
      </c>
    </row>
    <row r="253" spans="29:34" x14ac:dyDescent="0.3">
      <c r="AC253" s="1">
        <v>39083</v>
      </c>
      <c r="AD253" s="2">
        <v>9.6999999999999993</v>
      </c>
      <c r="AE253" s="2">
        <v>13058.4</v>
      </c>
      <c r="AF253" s="2">
        <f t="shared" si="20"/>
        <v>7.4281688415119757E-2</v>
      </c>
      <c r="AG253" s="2">
        <v>0.1</v>
      </c>
      <c r="AH253" s="2">
        <v>4.5</v>
      </c>
    </row>
    <row r="254" spans="29:34" x14ac:dyDescent="0.3">
      <c r="AC254" s="1">
        <v>39173</v>
      </c>
      <c r="AD254" s="2">
        <v>113.4</v>
      </c>
      <c r="AE254" s="2">
        <v>13138.1</v>
      </c>
      <c r="AF254" s="2">
        <f t="shared" si="20"/>
        <v>0.86313850556777616</v>
      </c>
      <c r="AG254" s="2">
        <v>0</v>
      </c>
      <c r="AH254" s="2">
        <v>4.5</v>
      </c>
    </row>
    <row r="255" spans="29:34" x14ac:dyDescent="0.3">
      <c r="AC255" s="1">
        <v>39264</v>
      </c>
      <c r="AD255" s="2">
        <v>100</v>
      </c>
      <c r="AE255" s="2">
        <v>13217.7</v>
      </c>
      <c r="AF255" s="2">
        <f t="shared" si="20"/>
        <v>0.75656127768068571</v>
      </c>
      <c r="AG255" s="2">
        <v>0.2</v>
      </c>
      <c r="AH255" s="2">
        <v>4.7</v>
      </c>
    </row>
    <row r="256" spans="29:34" x14ac:dyDescent="0.3">
      <c r="AC256" s="1">
        <v>39356</v>
      </c>
      <c r="AD256" s="2">
        <v>54.6</v>
      </c>
      <c r="AE256" s="2">
        <v>13296.5</v>
      </c>
      <c r="AF256" s="2">
        <f t="shared" si="20"/>
        <v>0.41063437746775466</v>
      </c>
      <c r="AG256" s="2">
        <v>0.1</v>
      </c>
      <c r="AH256" s="2">
        <v>4.8</v>
      </c>
    </row>
    <row r="257" spans="29:34" x14ac:dyDescent="0.3">
      <c r="AC257" s="1">
        <v>39448</v>
      </c>
      <c r="AD257" s="2">
        <v>-100.7</v>
      </c>
      <c r="AE257" s="2">
        <v>13373.3</v>
      </c>
      <c r="AF257" s="2">
        <f t="shared" si="20"/>
        <v>-0.75299290377094663</v>
      </c>
      <c r="AG257" s="2">
        <v>0.2</v>
      </c>
      <c r="AH257" s="2">
        <v>5</v>
      </c>
    </row>
    <row r="258" spans="29:34" x14ac:dyDescent="0.3">
      <c r="AC258" s="1">
        <v>39539</v>
      </c>
      <c r="AD258" s="2">
        <v>73.8</v>
      </c>
      <c r="AE258" s="2">
        <v>13449.5</v>
      </c>
      <c r="AF258" s="2">
        <f t="shared" si="20"/>
        <v>0.54871928324473029</v>
      </c>
      <c r="AG258" s="2">
        <v>0.3</v>
      </c>
      <c r="AH258" s="2">
        <v>5.3</v>
      </c>
    </row>
    <row r="259" spans="29:34" x14ac:dyDescent="0.3">
      <c r="AC259" s="1">
        <v>39630</v>
      </c>
      <c r="AD259" s="2">
        <v>-74.099999999999994</v>
      </c>
      <c r="AE259" s="2">
        <v>13523.3</v>
      </c>
      <c r="AF259" s="2">
        <f t="shared" si="20"/>
        <v>-0.54794317954937033</v>
      </c>
      <c r="AG259" s="2">
        <v>0.7</v>
      </c>
      <c r="AH259" s="2">
        <v>6</v>
      </c>
    </row>
    <row r="260" spans="29:34" x14ac:dyDescent="0.3">
      <c r="AC260" s="1">
        <v>39722</v>
      </c>
      <c r="AD260" s="2">
        <v>-320.5</v>
      </c>
      <c r="AE260" s="2">
        <v>13594</v>
      </c>
      <c r="AF260" s="2">
        <f t="shared" si="20"/>
        <v>-2.3576577902015594</v>
      </c>
      <c r="AG260" s="2">
        <v>0.9</v>
      </c>
      <c r="AH260" s="2">
        <v>6.9</v>
      </c>
    </row>
    <row r="261" spans="29:34" x14ac:dyDescent="0.3">
      <c r="AC261" s="1">
        <v>39814</v>
      </c>
      <c r="AD261" s="2">
        <v>-202.5</v>
      </c>
      <c r="AE261" s="2">
        <v>13660.1</v>
      </c>
      <c r="AF261" s="2">
        <f t="shared" si="20"/>
        <v>-1.4824196016134581</v>
      </c>
      <c r="AG261" s="2">
        <v>1.4</v>
      </c>
      <c r="AH261" s="2">
        <v>8.3000000000000007</v>
      </c>
    </row>
    <row r="262" spans="29:34" x14ac:dyDescent="0.3">
      <c r="AC262" s="1">
        <v>39904</v>
      </c>
      <c r="AD262" s="2">
        <v>-15.2</v>
      </c>
      <c r="AE262" s="2">
        <v>13719.2</v>
      </c>
      <c r="AF262" s="2">
        <f t="shared" si="20"/>
        <v>-0.1107936322817657</v>
      </c>
      <c r="AG262" s="2">
        <v>1</v>
      </c>
      <c r="AH262" s="2">
        <v>9.3000000000000007</v>
      </c>
    </row>
    <row r="263" spans="29:34" x14ac:dyDescent="0.3">
      <c r="AC263" s="1">
        <v>39995</v>
      </c>
      <c r="AD263" s="2">
        <v>45.6</v>
      </c>
      <c r="AE263" s="2">
        <v>13774.8</v>
      </c>
      <c r="AF263" s="2">
        <f t="shared" si="20"/>
        <v>0.3310392891366844</v>
      </c>
      <c r="AG263" s="2">
        <v>0.3</v>
      </c>
      <c r="AH263" s="2">
        <v>9.6</v>
      </c>
    </row>
    <row r="264" spans="29:34" x14ac:dyDescent="0.3">
      <c r="AC264" s="1">
        <v>40087</v>
      </c>
      <c r="AD264" s="2">
        <v>137.69999999999999</v>
      </c>
      <c r="AE264" s="2">
        <v>13827.5</v>
      </c>
      <c r="AF264" s="2">
        <f t="shared" si="20"/>
        <v>0.99584161996022402</v>
      </c>
      <c r="AG264" s="2">
        <v>0.3</v>
      </c>
      <c r="AH264" s="2">
        <v>9.9</v>
      </c>
    </row>
    <row r="265" spans="29:34" x14ac:dyDescent="0.3">
      <c r="AC265" s="1">
        <v>40179</v>
      </c>
      <c r="AD265" s="2">
        <v>57.5</v>
      </c>
      <c r="AE265" s="2">
        <v>13877</v>
      </c>
      <c r="AF265" s="2">
        <f t="shared" si="20"/>
        <v>0.41435468761259636</v>
      </c>
      <c r="AG265" s="2">
        <v>-0.1</v>
      </c>
      <c r="AH265" s="2">
        <v>9.8000000000000007</v>
      </c>
    </row>
    <row r="266" spans="29:34" x14ac:dyDescent="0.3">
      <c r="AC266" s="1">
        <v>40269</v>
      </c>
      <c r="AD266" s="2">
        <v>140.30000000000001</v>
      </c>
      <c r="AE266" s="2">
        <v>13925.7</v>
      </c>
      <c r="AF266" s="2">
        <f t="shared" si="20"/>
        <v>1.0074897491688031</v>
      </c>
      <c r="AG266" s="2">
        <v>-0.2</v>
      </c>
      <c r="AH266" s="2">
        <v>9.6</v>
      </c>
    </row>
    <row r="267" spans="29:34" x14ac:dyDescent="0.3">
      <c r="AC267" s="1">
        <v>40360</v>
      </c>
      <c r="AD267" s="2">
        <v>101.3</v>
      </c>
      <c r="AE267" s="2">
        <v>13974.4</v>
      </c>
      <c r="AF267" s="2">
        <f t="shared" si="20"/>
        <v>0.72489695443095947</v>
      </c>
      <c r="AG267" s="2">
        <v>-0.1</v>
      </c>
      <c r="AH267" s="2">
        <v>9.5</v>
      </c>
    </row>
    <row r="268" spans="29:34" x14ac:dyDescent="0.3">
      <c r="AC268" s="1">
        <v>40452</v>
      </c>
      <c r="AD268" s="2">
        <v>103.1</v>
      </c>
      <c r="AE268" s="2">
        <v>14024.2</v>
      </c>
      <c r="AF268" s="2">
        <f t="shared" si="20"/>
        <v>0.73515779866231223</v>
      </c>
      <c r="AG268" s="2">
        <v>0</v>
      </c>
      <c r="AH268" s="2">
        <v>9.5</v>
      </c>
    </row>
    <row r="269" spans="29:34" x14ac:dyDescent="0.3">
      <c r="AC269" s="1">
        <v>40544</v>
      </c>
      <c r="AD269" s="2">
        <v>-48.4</v>
      </c>
      <c r="AE269" s="2">
        <v>14078.9</v>
      </c>
      <c r="AF269" s="2">
        <f t="shared" si="20"/>
        <v>-0.34377685756699744</v>
      </c>
      <c r="AG269" s="2">
        <v>-0.5</v>
      </c>
      <c r="AH269" s="2">
        <v>9</v>
      </c>
    </row>
    <row r="270" spans="29:34" x14ac:dyDescent="0.3">
      <c r="AC270" s="1">
        <v>40634</v>
      </c>
      <c r="AD270" s="2">
        <v>117.3</v>
      </c>
      <c r="AE270" s="2">
        <v>14136.3</v>
      </c>
      <c r="AF270" s="2">
        <f t="shared" si="20"/>
        <v>0.82977865495214453</v>
      </c>
      <c r="AG270" s="2">
        <v>0</v>
      </c>
      <c r="AH270" s="2">
        <v>9</v>
      </c>
    </row>
    <row r="271" spans="29:34" x14ac:dyDescent="0.3">
      <c r="AC271" s="1">
        <v>40725</v>
      </c>
      <c r="AD271" s="2">
        <v>50.8</v>
      </c>
      <c r="AE271" s="2">
        <v>14195.4</v>
      </c>
      <c r="AF271" s="2">
        <f t="shared" si="20"/>
        <v>0.35786240613156378</v>
      </c>
      <c r="AG271" s="2">
        <v>0</v>
      </c>
      <c r="AH271" s="2">
        <v>9</v>
      </c>
    </row>
    <row r="272" spans="29:34" x14ac:dyDescent="0.3">
      <c r="AC272" s="1">
        <v>40817</v>
      </c>
      <c r="AD272" s="2">
        <v>180</v>
      </c>
      <c r="AE272" s="2">
        <v>14255.9</v>
      </c>
      <c r="AF272" s="2">
        <f t="shared" si="20"/>
        <v>1.2626351194943848</v>
      </c>
      <c r="AG272" s="2">
        <v>-0.3</v>
      </c>
      <c r="AH272" s="2">
        <v>8.6999999999999993</v>
      </c>
    </row>
    <row r="273" spans="29:34" x14ac:dyDescent="0.3">
      <c r="AC273" s="1">
        <v>40909</v>
      </c>
      <c r="AD273" s="2">
        <v>139.5</v>
      </c>
      <c r="AE273" s="2">
        <v>14317.4</v>
      </c>
      <c r="AF273" s="2">
        <f t="shared" si="20"/>
        <v>0.97433891628368285</v>
      </c>
      <c r="AG273" s="2">
        <v>-0.4</v>
      </c>
      <c r="AH273" s="2">
        <v>8.3000000000000007</v>
      </c>
    </row>
    <row r="274" spans="29:34" x14ac:dyDescent="0.3">
      <c r="AC274" s="1">
        <v>41000</v>
      </c>
      <c r="AD274" s="2">
        <v>46.1</v>
      </c>
      <c r="AE274" s="2">
        <v>14379.3</v>
      </c>
      <c r="AF274" s="2">
        <f t="shared" si="20"/>
        <v>0.32059975103099597</v>
      </c>
      <c r="AG274" s="2">
        <v>-0.1</v>
      </c>
      <c r="AH274" s="2">
        <v>8.1999999999999993</v>
      </c>
    </row>
    <row r="275" spans="29:34" x14ac:dyDescent="0.3">
      <c r="AC275" s="1">
        <v>41091</v>
      </c>
      <c r="AD275" s="2">
        <v>106.3</v>
      </c>
      <c r="AE275" s="2">
        <v>14441.9</v>
      </c>
      <c r="AF275" s="2">
        <f t="shared" si="20"/>
        <v>0.73605273544339733</v>
      </c>
      <c r="AG275" s="2">
        <v>-0.2</v>
      </c>
      <c r="AH275" s="2">
        <v>8</v>
      </c>
    </row>
    <row r="276" spans="29:34" x14ac:dyDescent="0.3">
      <c r="AC276" s="1">
        <v>41183</v>
      </c>
      <c r="AD276" s="2">
        <v>5.6</v>
      </c>
      <c r="AE276" s="2">
        <v>14505.4</v>
      </c>
      <c r="AF276" s="2">
        <f t="shared" si="20"/>
        <v>3.8606312132033589E-2</v>
      </c>
      <c r="AG276" s="2">
        <v>-0.2</v>
      </c>
      <c r="AH276" s="2">
        <v>7.8</v>
      </c>
    </row>
    <row r="277" spans="29:34" x14ac:dyDescent="0.3">
      <c r="AC277" s="1">
        <v>41275</v>
      </c>
      <c r="AD277" s="2">
        <v>44.3</v>
      </c>
      <c r="AE277" s="2">
        <v>14568.9</v>
      </c>
      <c r="AF277" s="2">
        <f t="shared" si="20"/>
        <v>0.30407237334321741</v>
      </c>
      <c r="AG277" s="2">
        <v>-0.1</v>
      </c>
      <c r="AH277" s="2">
        <v>7.7</v>
      </c>
    </row>
    <row r="278" spans="29:34" x14ac:dyDescent="0.3">
      <c r="AC278" s="1">
        <v>41365</v>
      </c>
      <c r="AD278" s="2">
        <v>64.8</v>
      </c>
      <c r="AE278" s="2">
        <v>14633.2</v>
      </c>
      <c r="AF278" s="2">
        <f t="shared" ref="AF278" si="21">100*AD278/AE278</f>
        <v>0.4428286362518109</v>
      </c>
      <c r="AG278" s="2">
        <v>-0.1</v>
      </c>
      <c r="AH278" s="2">
        <v>7.6</v>
      </c>
    </row>
    <row r="279" spans="29:34" x14ac:dyDescent="0.3">
      <c r="AE279" s="2">
        <v>14698.8</v>
      </c>
      <c r="AF279" s="2"/>
      <c r="AG279" s="30" t="e">
        <f>NA()</f>
        <v>#N/A</v>
      </c>
      <c r="AH279" s="30" t="e">
        <f>NA()</f>
        <v>#N/A</v>
      </c>
    </row>
    <row r="280" spans="29:34" x14ac:dyDescent="0.3">
      <c r="AE280" s="2">
        <v>14765.8</v>
      </c>
      <c r="AF280" s="2"/>
      <c r="AG280" s="2"/>
    </row>
    <row r="281" spans="29:34" x14ac:dyDescent="0.3">
      <c r="AE281" s="2">
        <v>14835.3</v>
      </c>
      <c r="AF281" s="2"/>
      <c r="AG281" s="2"/>
    </row>
    <row r="282" spans="29:34" x14ac:dyDescent="0.3">
      <c r="AE282" s="2">
        <v>14906.8</v>
      </c>
      <c r="AF282" s="2"/>
      <c r="AG282" s="2"/>
    </row>
    <row r="283" spans="29:34" x14ac:dyDescent="0.3">
      <c r="AE283" s="2">
        <v>14980.2</v>
      </c>
      <c r="AF283" s="2"/>
      <c r="AG283" s="2"/>
    </row>
    <row r="284" spans="29:34" x14ac:dyDescent="0.3">
      <c r="AE284" s="2">
        <v>15055.8</v>
      </c>
      <c r="AF284" s="2"/>
      <c r="AG284" s="2"/>
    </row>
    <row r="285" spans="29:34" x14ac:dyDescent="0.3">
      <c r="AE285" s="2">
        <v>15133.6</v>
      </c>
      <c r="AF285" s="2"/>
      <c r="AG285" s="2"/>
    </row>
    <row r="286" spans="29:34" x14ac:dyDescent="0.3">
      <c r="AE286" s="2">
        <v>15213</v>
      </c>
      <c r="AF286" s="2"/>
      <c r="AG286" s="2"/>
    </row>
    <row r="287" spans="29:34" x14ac:dyDescent="0.3">
      <c r="AE287" s="2">
        <v>15294.6</v>
      </c>
      <c r="AF287" s="2"/>
      <c r="AG287" s="2"/>
    </row>
    <row r="288" spans="29:34" x14ac:dyDescent="0.3">
      <c r="AE288" s="2">
        <v>15378.4</v>
      </c>
      <c r="AF288" s="2"/>
      <c r="AG288" s="30"/>
    </row>
    <row r="289" spans="31:32" x14ac:dyDescent="0.3">
      <c r="AE289" s="2">
        <v>15464.3</v>
      </c>
      <c r="AF289" s="2"/>
    </row>
    <row r="290" spans="31:32" x14ac:dyDescent="0.3">
      <c r="AE290" s="2">
        <v>15553.4</v>
      </c>
      <c r="AF290" s="2"/>
    </row>
    <row r="291" spans="31:32" x14ac:dyDescent="0.3">
      <c r="AE291" s="2">
        <v>15644.7</v>
      </c>
      <c r="AF291" s="2"/>
    </row>
    <row r="292" spans="31:32" x14ac:dyDescent="0.3">
      <c r="AE292" s="2">
        <v>15738.1</v>
      </c>
      <c r="AF292" s="2"/>
    </row>
    <row r="293" spans="31:32" x14ac:dyDescent="0.3">
      <c r="AE293" s="2">
        <v>15833.7</v>
      </c>
      <c r="AF293" s="2"/>
    </row>
    <row r="294" spans="31:32" x14ac:dyDescent="0.3">
      <c r="AE294" s="2">
        <v>15931.2</v>
      </c>
      <c r="AF294" s="2"/>
    </row>
    <row r="295" spans="31:32" x14ac:dyDescent="0.3">
      <c r="AE295" s="2">
        <v>16029.8</v>
      </c>
      <c r="AF295" s="2"/>
    </row>
    <row r="296" spans="31:32" x14ac:dyDescent="0.3">
      <c r="AE296" s="2">
        <v>16129.1</v>
      </c>
      <c r="AF296" s="2"/>
    </row>
    <row r="297" spans="31:32" x14ac:dyDescent="0.3">
      <c r="AE297" s="2">
        <v>16227.8</v>
      </c>
      <c r="AF297" s="2"/>
    </row>
    <row r="298" spans="31:32" x14ac:dyDescent="0.3">
      <c r="AE298" s="2">
        <v>16326.8</v>
      </c>
      <c r="AF298" s="2"/>
    </row>
    <row r="299" spans="31:32" x14ac:dyDescent="0.3">
      <c r="AE299" s="2">
        <v>16425.7</v>
      </c>
      <c r="AF299" s="2"/>
    </row>
    <row r="300" spans="31:32" x14ac:dyDescent="0.3">
      <c r="AE300" s="2">
        <v>16524.400000000001</v>
      </c>
      <c r="AF300" s="2"/>
    </row>
    <row r="301" spans="31:32" x14ac:dyDescent="0.3">
      <c r="AE301" s="2">
        <v>16622.400000000001</v>
      </c>
      <c r="AF301" s="2"/>
    </row>
    <row r="302" spans="31:32" x14ac:dyDescent="0.3">
      <c r="AE302" s="2">
        <v>16719.7</v>
      </c>
      <c r="AF302" s="2"/>
    </row>
    <row r="303" spans="31:32" x14ac:dyDescent="0.3">
      <c r="AE303" s="2">
        <v>16816.5</v>
      </c>
      <c r="AF303" s="2"/>
    </row>
    <row r="304" spans="31:32" x14ac:dyDescent="0.3">
      <c r="AE304" s="2">
        <v>16912.8</v>
      </c>
      <c r="AF304" s="2"/>
    </row>
    <row r="305" spans="31:32" x14ac:dyDescent="0.3">
      <c r="AE305" s="2">
        <v>17008.5</v>
      </c>
      <c r="AF305" s="2"/>
    </row>
    <row r="306" spans="31:32" x14ac:dyDescent="0.3">
      <c r="AE306" s="2">
        <v>17103.5</v>
      </c>
      <c r="AF306" s="2"/>
    </row>
    <row r="307" spans="31:32" x14ac:dyDescent="0.3">
      <c r="AE307" s="2">
        <v>17198.2</v>
      </c>
      <c r="AF307" s="2"/>
    </row>
    <row r="308" spans="31:32" x14ac:dyDescent="0.3">
      <c r="AE308" s="2">
        <v>17292.7</v>
      </c>
      <c r="AF308" s="2"/>
    </row>
    <row r="309" spans="31:32" x14ac:dyDescent="0.3">
      <c r="AE309" s="2">
        <v>17387.400000000001</v>
      </c>
      <c r="AF309" s="2"/>
    </row>
    <row r="310" spans="31:32" x14ac:dyDescent="0.3">
      <c r="AE310" s="2">
        <v>17482.2</v>
      </c>
      <c r="AF310" s="2"/>
    </row>
    <row r="311" spans="31:32" x14ac:dyDescent="0.3">
      <c r="AE311" s="2">
        <v>17577.2</v>
      </c>
      <c r="AF311" s="2"/>
    </row>
    <row r="312" spans="31:32" x14ac:dyDescent="0.3">
      <c r="AE312" s="2">
        <v>17672.400000000001</v>
      </c>
      <c r="AF312" s="2"/>
    </row>
    <row r="313" spans="31:32" x14ac:dyDescent="0.3">
      <c r="AE313" s="2">
        <v>17768.2</v>
      </c>
      <c r="AF313" s="2"/>
    </row>
    <row r="314" spans="31:32" x14ac:dyDescent="0.3">
      <c r="AE314" s="2">
        <v>17863.900000000001</v>
      </c>
      <c r="AF314" s="2"/>
    </row>
    <row r="315" spans="31:32" x14ac:dyDescent="0.3">
      <c r="AE315" s="2">
        <v>17960.099999999999</v>
      </c>
      <c r="AF315" s="2"/>
    </row>
    <row r="316" spans="31:32" x14ac:dyDescent="0.3">
      <c r="AE316" s="2">
        <v>18056.900000000001</v>
      </c>
      <c r="AF316" s="2"/>
    </row>
    <row r="317" spans="31:32" x14ac:dyDescent="0.3">
      <c r="AE317" s="2">
        <v>18154.5</v>
      </c>
      <c r="AF317" s="2"/>
    </row>
    <row r="318" spans="31:32" x14ac:dyDescent="0.3">
      <c r="AE318" s="2">
        <v>18254.5</v>
      </c>
      <c r="AF318" s="2"/>
    </row>
    <row r="319" spans="31:32" x14ac:dyDescent="0.3">
      <c r="AE319" s="2">
        <v>18354.900000000001</v>
      </c>
      <c r="AF319" s="2"/>
    </row>
    <row r="320" spans="31:32" x14ac:dyDescent="0.3">
      <c r="AE320" s="2">
        <v>18455.3</v>
      </c>
      <c r="AF320" s="2"/>
    </row>
  </sheetData>
  <mergeCells count="7">
    <mergeCell ref="X3:Y3"/>
    <mergeCell ref="Z3:AA3"/>
    <mergeCell ref="D3:G3"/>
    <mergeCell ref="I3:K3"/>
    <mergeCell ref="M3:O3"/>
    <mergeCell ref="Q3:S3"/>
    <mergeCell ref="V3:W3"/>
  </mergeCells>
  <pageMargins left="0.7" right="0.7" top="0.75" bottom="0.75" header="0.3" footer="0.3"/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workbookViewId="0">
      <selection activeCell="D6" sqref="D6"/>
    </sheetView>
  </sheetViews>
  <sheetFormatPr defaultRowHeight="14.4" x14ac:dyDescent="0.3"/>
  <cols>
    <col min="7" max="7" width="3.44140625" customWidth="1"/>
    <col min="14" max="14" width="2.88671875" customWidth="1"/>
  </cols>
  <sheetData>
    <row r="1" spans="1:21" x14ac:dyDescent="0.3">
      <c r="B1" t="s">
        <v>112</v>
      </c>
    </row>
    <row r="3" spans="1:21" x14ac:dyDescent="0.3">
      <c r="B3" s="65" t="s">
        <v>105</v>
      </c>
      <c r="C3" s="65"/>
      <c r="D3" s="65"/>
      <c r="E3" s="65"/>
      <c r="F3" s="65"/>
      <c r="I3" s="65" t="s">
        <v>110</v>
      </c>
      <c r="J3" s="65"/>
      <c r="K3" s="65"/>
      <c r="L3" s="65"/>
      <c r="M3" s="65"/>
      <c r="P3" s="65" t="s">
        <v>111</v>
      </c>
      <c r="Q3" s="65"/>
      <c r="R3" s="65"/>
      <c r="S3" s="65"/>
      <c r="T3" s="65"/>
    </row>
    <row r="4" spans="1:21" s="4" customFormat="1" x14ac:dyDescent="0.3">
      <c r="B4" s="4" t="s">
        <v>106</v>
      </c>
      <c r="C4" s="4" t="s">
        <v>107</v>
      </c>
      <c r="D4" s="4" t="s">
        <v>108</v>
      </c>
      <c r="E4" s="4" t="s">
        <v>124</v>
      </c>
      <c r="F4" s="4" t="s">
        <v>109</v>
      </c>
      <c r="I4" s="4" t="s">
        <v>106</v>
      </c>
      <c r="J4" s="4" t="s">
        <v>107</v>
      </c>
      <c r="K4" s="4" t="s">
        <v>108</v>
      </c>
      <c r="L4" s="4" t="s">
        <v>124</v>
      </c>
      <c r="M4" s="4" t="s">
        <v>109</v>
      </c>
      <c r="P4" s="4" t="s">
        <v>106</v>
      </c>
      <c r="Q4" s="4" t="s">
        <v>107</v>
      </c>
      <c r="R4" s="4" t="s">
        <v>108</v>
      </c>
      <c r="S4" s="4" t="s">
        <v>124</v>
      </c>
      <c r="T4" s="4" t="s">
        <v>109</v>
      </c>
    </row>
    <row r="5" spans="1:21" x14ac:dyDescent="0.3">
      <c r="A5">
        <v>-1</v>
      </c>
      <c r="B5" s="18">
        <f>FiscalPolicy!V5</f>
        <v>5.3</v>
      </c>
      <c r="F5" s="28">
        <f>B5</f>
        <v>5.3</v>
      </c>
      <c r="H5">
        <v>-1</v>
      </c>
      <c r="I5" s="18">
        <f>FiscalPolicy!X5</f>
        <v>3.9</v>
      </c>
      <c r="M5" s="28">
        <f>I5</f>
        <v>3.9</v>
      </c>
      <c r="O5">
        <v>-1</v>
      </c>
      <c r="P5" s="18">
        <f>FiscalPolicy!Z5</f>
        <v>4.7</v>
      </c>
      <c r="T5" s="28">
        <f>P5</f>
        <v>4.7</v>
      </c>
    </row>
    <row r="6" spans="1:21" x14ac:dyDescent="0.3">
      <c r="A6">
        <v>0</v>
      </c>
      <c r="B6" s="18">
        <f>FiscalPolicy!V6</f>
        <v>5.7</v>
      </c>
      <c r="C6" s="49">
        <f>AVERAGE('1990recession'!N5:N7)</f>
        <v>-5.3641843296647366E-3</v>
      </c>
      <c r="D6" s="49">
        <f>FiscalPolicy!Q6</f>
        <v>0.19276667990348076</v>
      </c>
      <c r="E6" s="49">
        <f>C6+D6</f>
        <v>0.18740249557381602</v>
      </c>
      <c r="F6" s="28">
        <f>B6-C6-D6</f>
        <v>5.5125975044261839</v>
      </c>
      <c r="H6">
        <v>0</v>
      </c>
      <c r="I6" s="18">
        <f>FiscalPolicy!X6</f>
        <v>4.2</v>
      </c>
      <c r="J6" s="49">
        <f>AVERAGE('2001recession'!$N5:$N7)</f>
        <v>-2.8651931355084398E-4</v>
      </c>
      <c r="K6" s="49">
        <f>FiscalPolicy!R6</f>
        <v>9.7765198107912343E-2</v>
      </c>
      <c r="L6" s="49">
        <f>K6+J6</f>
        <v>9.7478678794361506E-2</v>
      </c>
      <c r="M6" s="28">
        <f>I6-J6-K6</f>
        <v>4.1025213212056393</v>
      </c>
      <c r="O6">
        <v>0</v>
      </c>
      <c r="P6" s="18">
        <f>FiscalPolicy!Z6</f>
        <v>4.8</v>
      </c>
      <c r="Q6" s="49">
        <f>AVERAGE('2007recession'!N5:N7)</f>
        <v>4.553392623918376E-3</v>
      </c>
      <c r="R6" s="49">
        <f>FiscalPolicy!S6</f>
        <v>3.1444755764462914E-2</v>
      </c>
      <c r="S6" s="49">
        <f>Q6+R6</f>
        <v>3.5998148388381293E-2</v>
      </c>
      <c r="T6" s="28">
        <f>P6-Q6-R6</f>
        <v>4.764001851611618</v>
      </c>
      <c r="U6">
        <v>0</v>
      </c>
    </row>
    <row r="7" spans="1:21" x14ac:dyDescent="0.3">
      <c r="A7">
        <v>1</v>
      </c>
      <c r="B7" s="18">
        <f>FiscalPolicy!V7</f>
        <v>6.1</v>
      </c>
      <c r="C7" s="49">
        <f>AVERAGE('1990recession'!N8:N10)</f>
        <v>-2.9397830367234219E-2</v>
      </c>
      <c r="D7" s="49">
        <f>FiscalPolicy!Q7</f>
        <v>0.31337617788421013</v>
      </c>
      <c r="E7" s="49">
        <f t="shared" ref="E7:E22" si="0">C7+D7</f>
        <v>0.28397834751697593</v>
      </c>
      <c r="F7" s="28">
        <f t="shared" ref="F7:F22" si="1">B7-C7-D7</f>
        <v>5.8160216524830233</v>
      </c>
      <c r="H7">
        <v>1</v>
      </c>
      <c r="I7" s="18">
        <f>FiscalPolicy!X7</f>
        <v>4.4000000000000004</v>
      </c>
      <c r="J7" s="49">
        <f>AVERAGE('2001recession'!$N8:$N10)</f>
        <v>-2.1023846203652313E-2</v>
      </c>
      <c r="K7" s="49">
        <f>FiscalPolicy!R7</f>
        <v>4.1027108453672856E-4</v>
      </c>
      <c r="L7" s="49">
        <f t="shared" ref="L7:L22" si="2">K7+J7</f>
        <v>-2.0613575119115584E-2</v>
      </c>
      <c r="M7" s="28">
        <f t="shared" ref="M7:M22" si="3">I7-J7-K7</f>
        <v>4.4206135751191162</v>
      </c>
      <c r="O7">
        <v>1</v>
      </c>
      <c r="P7" s="18">
        <f>FiscalPolicy!Z7</f>
        <v>5</v>
      </c>
      <c r="Q7" s="49">
        <f>AVERAGE('2007recession'!N8:N10)</f>
        <v>1.5365118331634045E-2</v>
      </c>
      <c r="R7" s="49">
        <f>FiscalPolicy!S7</f>
        <v>-0.13994830639559463</v>
      </c>
      <c r="S7" s="49">
        <f t="shared" ref="S7:S22" si="4">Q7+R7</f>
        <v>-0.12458318806396058</v>
      </c>
      <c r="T7" s="28">
        <f t="shared" ref="T7:T22" si="5">P7-Q7-R7</f>
        <v>5.1245831880639603</v>
      </c>
      <c r="U7">
        <v>0</v>
      </c>
    </row>
    <row r="8" spans="1:21" x14ac:dyDescent="0.3">
      <c r="A8">
        <v>2</v>
      </c>
      <c r="B8" s="18">
        <f>FiscalPolicy!V8</f>
        <v>6.6</v>
      </c>
      <c r="C8" s="49">
        <f>AVERAGE('1990recession'!N11:N13)</f>
        <v>-1.196107771557757E-2</v>
      </c>
      <c r="D8" s="49">
        <f>FiscalPolicy!Q8</f>
        <v>0.73360276114011169</v>
      </c>
      <c r="E8" s="49">
        <f t="shared" si="0"/>
        <v>0.72164168342453416</v>
      </c>
      <c r="F8" s="28">
        <f t="shared" si="1"/>
        <v>5.8783583165754649</v>
      </c>
      <c r="H8">
        <v>2</v>
      </c>
      <c r="I8" s="18">
        <f>FiscalPolicy!X8</f>
        <v>4.8</v>
      </c>
      <c r="J8" s="49">
        <f>AVERAGE('2001recession'!$N11:$N13)</f>
        <v>-3.2585265797676906E-2</v>
      </c>
      <c r="K8" s="49">
        <f>FiscalPolicy!R8</f>
        <v>-0.54904260472011146</v>
      </c>
      <c r="L8" s="49">
        <f t="shared" si="2"/>
        <v>-0.58162787051778841</v>
      </c>
      <c r="M8" s="28">
        <f t="shared" si="3"/>
        <v>5.3816278705177885</v>
      </c>
      <c r="O8">
        <v>2</v>
      </c>
      <c r="P8" s="18">
        <f>FiscalPolicy!Z8</f>
        <v>5.3</v>
      </c>
      <c r="Q8" s="49">
        <f>AVERAGE('2007recession'!N11:N13)</f>
        <v>1.8045311246995266E-3</v>
      </c>
      <c r="R8" s="49">
        <f>FiscalPolicy!S8</f>
        <v>-0.98281501887086165</v>
      </c>
      <c r="S8" s="49">
        <f t="shared" si="4"/>
        <v>-0.98101048774616206</v>
      </c>
      <c r="T8" s="28">
        <f t="shared" si="5"/>
        <v>6.2810104877461619</v>
      </c>
      <c r="U8">
        <v>0</v>
      </c>
    </row>
    <row r="9" spans="1:21" x14ac:dyDescent="0.3">
      <c r="A9">
        <f>A8+1</f>
        <v>3</v>
      </c>
      <c r="B9" s="18">
        <f>FiscalPolicy!V9</f>
        <v>6.8</v>
      </c>
      <c r="C9" s="49">
        <f>AVERAGE('1990recession'!N14:N16)</f>
        <v>7.0692368421172921E-2</v>
      </c>
      <c r="D9" s="49">
        <f>FiscalPolicy!Q9</f>
        <v>0.34038862873860387</v>
      </c>
      <c r="E9" s="49">
        <f t="shared" si="0"/>
        <v>0.41108099715977681</v>
      </c>
      <c r="F9" s="28">
        <f t="shared" si="1"/>
        <v>6.3889190028402227</v>
      </c>
      <c r="H9">
        <f>H8+1</f>
        <v>3</v>
      </c>
      <c r="I9" s="18">
        <f>FiscalPolicy!X9</f>
        <v>5.5</v>
      </c>
      <c r="J9" s="49">
        <f>AVERAGE('2001recession'!$N14:$N16)</f>
        <v>5.8483806857372755E-2</v>
      </c>
      <c r="K9" s="49">
        <f>FiscalPolicy!R9</f>
        <v>-0.18319861966626555</v>
      </c>
      <c r="L9" s="49">
        <f t="shared" si="2"/>
        <v>-0.12471481280889279</v>
      </c>
      <c r="M9" s="28">
        <f t="shared" si="3"/>
        <v>5.6247148128088931</v>
      </c>
      <c r="O9">
        <f>O8+1</f>
        <v>3</v>
      </c>
      <c r="P9" s="18">
        <f>FiscalPolicy!Z9</f>
        <v>6</v>
      </c>
      <c r="Q9" s="49">
        <f>AVERAGE('2007recession'!N14:N16)</f>
        <v>1.1165477036368845E-2</v>
      </c>
      <c r="R9" s="49">
        <f>FiscalPolicy!S9</f>
        <v>-0.54023184320988915</v>
      </c>
      <c r="S9" s="49">
        <f t="shared" si="4"/>
        <v>-0.52906636617352032</v>
      </c>
      <c r="T9" s="28">
        <f t="shared" si="5"/>
        <v>6.5290663661735202</v>
      </c>
      <c r="U9">
        <v>0</v>
      </c>
    </row>
    <row r="10" spans="1:21" x14ac:dyDescent="0.3">
      <c r="A10">
        <f t="shared" ref="A10:A29" si="6">A9+1</f>
        <v>4</v>
      </c>
      <c r="B10" s="18">
        <f>FiscalPolicy!V10</f>
        <v>6.9</v>
      </c>
      <c r="C10" s="49">
        <f>AVERAGE('1990recession'!N17:N19)</f>
        <v>6.6328614732556454E-2</v>
      </c>
      <c r="D10" s="49">
        <f>FiscalPolicy!Q10</f>
        <v>0.32403154476629592</v>
      </c>
      <c r="E10" s="49">
        <f t="shared" si="0"/>
        <v>0.39036015949885239</v>
      </c>
      <c r="F10" s="28">
        <f t="shared" si="1"/>
        <v>6.5096398405011477</v>
      </c>
      <c r="H10">
        <f t="shared" ref="H10:H29" si="7">H9+1</f>
        <v>4</v>
      </c>
      <c r="I10" s="18">
        <f>FiscalPolicy!X10</f>
        <v>5.7</v>
      </c>
      <c r="J10" s="49">
        <f>AVERAGE('2001recession'!$N17:$N19)</f>
        <v>5.2145059627332589E-2</v>
      </c>
      <c r="K10" s="49">
        <f>FiscalPolicy!R10</f>
        <v>-0.79808143157184519</v>
      </c>
      <c r="L10" s="49">
        <f t="shared" si="2"/>
        <v>-0.74593637194451257</v>
      </c>
      <c r="M10" s="28">
        <f t="shared" si="3"/>
        <v>6.4459363719445122</v>
      </c>
      <c r="O10">
        <f t="shared" ref="O10:O29" si="8">O9+1</f>
        <v>4</v>
      </c>
      <c r="P10" s="18">
        <f>FiscalPolicy!Z10</f>
        <v>6.9</v>
      </c>
      <c r="Q10" s="49">
        <f>AVERAGE('2007recession'!N17:N19)</f>
        <v>-6.2843867488062491E-2</v>
      </c>
      <c r="R10" s="49">
        <f>FiscalPolicy!S10</f>
        <v>-0.19816211979880172</v>
      </c>
      <c r="S10" s="49">
        <f t="shared" si="4"/>
        <v>-0.26100598728686419</v>
      </c>
      <c r="T10" s="28">
        <f t="shared" si="5"/>
        <v>7.161005987286865</v>
      </c>
      <c r="U10">
        <v>0</v>
      </c>
    </row>
    <row r="11" spans="1:21" x14ac:dyDescent="0.3">
      <c r="A11">
        <f t="shared" si="6"/>
        <v>5</v>
      </c>
      <c r="B11" s="18">
        <f>FiscalPolicy!V11</f>
        <v>7.1</v>
      </c>
      <c r="C11" s="49">
        <f>AVERAGE('1990recession'!N20:N22)</f>
        <v>7.3485548551573382E-2</v>
      </c>
      <c r="D11" s="49">
        <f>FiscalPolicy!Q11</f>
        <v>0.3780591727494228</v>
      </c>
      <c r="E11" s="49">
        <f t="shared" si="0"/>
        <v>0.45154472130099621</v>
      </c>
      <c r="F11" s="28">
        <f t="shared" si="1"/>
        <v>6.6484552786990028</v>
      </c>
      <c r="H11">
        <f t="shared" si="7"/>
        <v>5</v>
      </c>
      <c r="I11" s="18">
        <f>FiscalPolicy!X11</f>
        <v>5.8</v>
      </c>
      <c r="J11" s="49">
        <f>AVERAGE('2001recession'!$N20:$N22)</f>
        <v>5.0838525389403116E-2</v>
      </c>
      <c r="K11" s="49">
        <f>FiscalPolicy!R11</f>
        <v>-0.82052852624807704</v>
      </c>
      <c r="L11" s="49">
        <f t="shared" si="2"/>
        <v>-0.7696900008586739</v>
      </c>
      <c r="M11" s="28">
        <f t="shared" si="3"/>
        <v>6.5696900008586745</v>
      </c>
      <c r="O11">
        <f t="shared" si="8"/>
        <v>5</v>
      </c>
      <c r="P11" s="18">
        <f>FiscalPolicy!Z11</f>
        <v>8.3000000000000007</v>
      </c>
      <c r="Q11" s="49">
        <f>AVERAGE('2007recession'!N20:N22)</f>
        <v>-0.16564252743651417</v>
      </c>
      <c r="R11" s="49">
        <f>FiscalPolicy!S11</f>
        <v>-0.75925974702796295</v>
      </c>
      <c r="S11" s="49">
        <f t="shared" si="4"/>
        <v>-0.92490227446447715</v>
      </c>
      <c r="T11" s="28">
        <f t="shared" si="5"/>
        <v>9.224902274464478</v>
      </c>
      <c r="U11">
        <v>0</v>
      </c>
    </row>
    <row r="12" spans="1:21" x14ac:dyDescent="0.3">
      <c r="A12">
        <f t="shared" si="6"/>
        <v>6</v>
      </c>
      <c r="B12" s="18">
        <f>FiscalPolicy!V12</f>
        <v>7.4</v>
      </c>
      <c r="C12" s="49">
        <f>AVERAGE('1990recession'!N23:N25)</f>
        <v>8.9328383984745033E-2</v>
      </c>
      <c r="D12" s="49">
        <f>FiscalPolicy!Q12</f>
        <v>0.50762576794259562</v>
      </c>
      <c r="E12" s="49">
        <f t="shared" si="0"/>
        <v>0.59695415192734069</v>
      </c>
      <c r="F12" s="28">
        <f t="shared" si="1"/>
        <v>6.8030458480726592</v>
      </c>
      <c r="H12">
        <f t="shared" si="7"/>
        <v>6</v>
      </c>
      <c r="I12" s="18">
        <f>FiscalPolicy!X12</f>
        <v>5.7</v>
      </c>
      <c r="J12" s="49">
        <f>AVERAGE('2001recession'!$N23:$N25)</f>
        <v>3.6738524313931965E-2</v>
      </c>
      <c r="K12" s="49">
        <f>FiscalPolicy!R12</f>
        <v>-0.46142922945351356</v>
      </c>
      <c r="L12" s="49">
        <f t="shared" si="2"/>
        <v>-0.42469070513958157</v>
      </c>
      <c r="M12" s="28">
        <f t="shared" si="3"/>
        <v>6.1246907051395825</v>
      </c>
      <c r="O12">
        <f t="shared" si="8"/>
        <v>6</v>
      </c>
      <c r="P12" s="18">
        <f>FiscalPolicy!Z12</f>
        <v>9.3000000000000007</v>
      </c>
      <c r="Q12" s="49">
        <f>AVERAGE('2007recession'!N23:N25)</f>
        <v>-0.15530070287657416</v>
      </c>
      <c r="R12" s="49">
        <f>FiscalPolicy!S12</f>
        <v>-1.0103486703971063</v>
      </c>
      <c r="S12" s="49">
        <f t="shared" si="4"/>
        <v>-1.1656493732736806</v>
      </c>
      <c r="T12" s="28">
        <f t="shared" si="5"/>
        <v>10.465649373273681</v>
      </c>
      <c r="U12">
        <v>0</v>
      </c>
    </row>
    <row r="13" spans="1:21" x14ac:dyDescent="0.3">
      <c r="A13">
        <f t="shared" si="6"/>
        <v>7</v>
      </c>
      <c r="B13" s="18">
        <f>FiscalPolicy!V13</f>
        <v>7.6</v>
      </c>
      <c r="C13" s="49">
        <f>AVERAGE('1990recession'!N26:N28)</f>
        <v>0.13972519831138705</v>
      </c>
      <c r="D13" s="49">
        <f>FiscalPolicy!Q13</f>
        <v>0.27822032609173492</v>
      </c>
      <c r="E13" s="49">
        <f t="shared" si="0"/>
        <v>0.41794552440312194</v>
      </c>
      <c r="F13" s="28">
        <f t="shared" si="1"/>
        <v>7.1820544755968774</v>
      </c>
      <c r="H13">
        <f t="shared" si="7"/>
        <v>7</v>
      </c>
      <c r="I13" s="18">
        <f>FiscalPolicy!X13</f>
        <v>5.9</v>
      </c>
      <c r="J13" s="49">
        <f>AVERAGE('2001recession'!$N26:$N28)</f>
        <v>7.1353111712331996E-2</v>
      </c>
      <c r="K13" s="49">
        <f>FiscalPolicy!R13</f>
        <v>-0.64657893775858999</v>
      </c>
      <c r="L13" s="49">
        <f t="shared" si="2"/>
        <v>-0.57522582604625794</v>
      </c>
      <c r="M13" s="28">
        <f t="shared" si="3"/>
        <v>6.4752258260462581</v>
      </c>
      <c r="O13">
        <f t="shared" si="8"/>
        <v>7</v>
      </c>
      <c r="P13" s="18">
        <f>FiscalPolicy!Z13</f>
        <v>9.6</v>
      </c>
      <c r="Q13" s="49">
        <f>AVERAGE('2007recession'!N26:N28)</f>
        <v>-0.1287378889770627</v>
      </c>
      <c r="R13" s="49">
        <f>FiscalPolicy!S13</f>
        <v>-1.1220882948492716</v>
      </c>
      <c r="S13" s="49">
        <f t="shared" si="4"/>
        <v>-1.2508261838263344</v>
      </c>
      <c r="T13" s="28">
        <f t="shared" si="5"/>
        <v>10.850826183826333</v>
      </c>
      <c r="U13">
        <v>0</v>
      </c>
    </row>
    <row r="14" spans="1:21" x14ac:dyDescent="0.3">
      <c r="A14">
        <f t="shared" si="6"/>
        <v>8</v>
      </c>
      <c r="B14" s="18">
        <f>FiscalPolicy!V14</f>
        <v>7.6</v>
      </c>
      <c r="C14" s="49">
        <f>AVERAGE('1990recession'!N29:N31)</f>
        <v>0.23400265541507567</v>
      </c>
      <c r="D14" s="49">
        <f>FiscalPolicy!Q14</f>
        <v>0.29216146624983308</v>
      </c>
      <c r="E14" s="49">
        <f t="shared" si="0"/>
        <v>0.52616412166490878</v>
      </c>
      <c r="F14" s="28">
        <f t="shared" si="1"/>
        <v>7.0738358783350908</v>
      </c>
      <c r="H14">
        <f t="shared" si="7"/>
        <v>8</v>
      </c>
      <c r="I14" s="18">
        <f>FiscalPolicy!X14</f>
        <v>5.9</v>
      </c>
      <c r="J14" s="49">
        <f>AVERAGE('2001recession'!$N29:$N31)</f>
        <v>0.13870725730075373</v>
      </c>
      <c r="K14" s="49">
        <f>FiscalPolicy!R14</f>
        <v>-0.50964377598837729</v>
      </c>
      <c r="L14" s="49">
        <f t="shared" si="2"/>
        <v>-0.37093651868762356</v>
      </c>
      <c r="M14" s="28">
        <f t="shared" si="3"/>
        <v>6.2709365186876243</v>
      </c>
      <c r="O14">
        <f t="shared" si="8"/>
        <v>8</v>
      </c>
      <c r="P14" s="18">
        <f>FiscalPolicy!Z14</f>
        <v>9.9</v>
      </c>
      <c r="Q14" s="49">
        <f>AVERAGE('2007recession'!N29:N31)</f>
        <v>-1.8714248368688971E-2</v>
      </c>
      <c r="R14" s="49">
        <f>FiscalPolicy!S14</f>
        <v>-0.87121556795047506</v>
      </c>
      <c r="S14" s="49">
        <f t="shared" si="4"/>
        <v>-0.88992981631916401</v>
      </c>
      <c r="T14" s="28">
        <f t="shared" si="5"/>
        <v>10.789929816319164</v>
      </c>
      <c r="U14">
        <v>0</v>
      </c>
    </row>
    <row r="15" spans="1:21" x14ac:dyDescent="0.3">
      <c r="A15">
        <f t="shared" si="6"/>
        <v>9</v>
      </c>
      <c r="B15" s="18">
        <f>FiscalPolicy!V15</f>
        <v>7.4</v>
      </c>
      <c r="C15" s="49">
        <f>AVERAGE('1990recession'!N32:N34)</f>
        <v>0.30076074389693647</v>
      </c>
      <c r="D15" s="49">
        <f>FiscalPolicy!Q15</f>
        <v>0.23328948292489562</v>
      </c>
      <c r="E15" s="49">
        <f t="shared" si="0"/>
        <v>0.53405022682183212</v>
      </c>
      <c r="F15" s="28">
        <f t="shared" si="1"/>
        <v>6.8659497731781682</v>
      </c>
      <c r="H15">
        <f t="shared" si="7"/>
        <v>9</v>
      </c>
      <c r="I15" s="18">
        <f>FiscalPolicy!X15</f>
        <v>6.1</v>
      </c>
      <c r="J15" s="49">
        <f>AVERAGE('2001recession'!$N32:$N34)</f>
        <v>0.18372261672358178</v>
      </c>
      <c r="K15" s="49">
        <f>FiscalPolicy!R15</f>
        <v>-0.83911869661961602</v>
      </c>
      <c r="L15" s="49">
        <f t="shared" si="2"/>
        <v>-0.65539607989603421</v>
      </c>
      <c r="M15" s="28">
        <f t="shared" si="3"/>
        <v>6.755396079896034</v>
      </c>
      <c r="O15">
        <f t="shared" si="8"/>
        <v>9</v>
      </c>
      <c r="P15" s="18">
        <f>FiscalPolicy!Z15</f>
        <v>9.8000000000000007</v>
      </c>
      <c r="Q15" s="49">
        <f>AVERAGE('2007recession'!N32:N34)</f>
        <v>6.5624354667652048E-3</v>
      </c>
      <c r="R15" s="49">
        <f>FiscalPolicy!S15</f>
        <v>-1.0745829953795492</v>
      </c>
      <c r="S15" s="49">
        <f t="shared" si="4"/>
        <v>-1.0680205599127839</v>
      </c>
      <c r="T15" s="28">
        <f t="shared" si="5"/>
        <v>10.868020559912784</v>
      </c>
      <c r="U15">
        <v>0</v>
      </c>
    </row>
    <row r="16" spans="1:21" x14ac:dyDescent="0.3">
      <c r="A16">
        <f t="shared" si="6"/>
        <v>10</v>
      </c>
      <c r="B16" s="18">
        <f>FiscalPolicy!V16</f>
        <v>7.1</v>
      </c>
      <c r="C16" s="49">
        <f>AVERAGE('1990recession'!N35:N37)</f>
        <v>0.42840435371175123</v>
      </c>
      <c r="D16" s="49">
        <f>FiscalPolicy!Q16</f>
        <v>0.26455059860193281</v>
      </c>
      <c r="E16" s="49">
        <f t="shared" si="0"/>
        <v>0.69295495231368398</v>
      </c>
      <c r="F16" s="28">
        <f t="shared" si="1"/>
        <v>6.4070450476863154</v>
      </c>
      <c r="H16">
        <f t="shared" si="7"/>
        <v>10</v>
      </c>
      <c r="I16" s="18">
        <f>FiscalPolicy!X16</f>
        <v>6.1</v>
      </c>
      <c r="J16" s="49">
        <f>AVERAGE('2001recession'!$N35:$N37)</f>
        <v>0.29811516335187688</v>
      </c>
      <c r="K16" s="49">
        <f>FiscalPolicy!R16</f>
        <v>-1.1284276884182907</v>
      </c>
      <c r="L16" s="49">
        <f t="shared" si="2"/>
        <v>-0.83031252506641384</v>
      </c>
      <c r="M16" s="28">
        <f t="shared" si="3"/>
        <v>6.9303125250664133</v>
      </c>
      <c r="O16">
        <f t="shared" si="8"/>
        <v>10</v>
      </c>
      <c r="P16" s="18">
        <f>FiscalPolicy!Z16</f>
        <v>9.6</v>
      </c>
      <c r="Q16" s="49">
        <f>AVERAGE('2007recession'!N35:N37)</f>
        <v>0.18334863591711592</v>
      </c>
      <c r="R16" s="49">
        <f>FiscalPolicy!S16</f>
        <v>-1.0284661378327611</v>
      </c>
      <c r="S16" s="49">
        <f t="shared" si="4"/>
        <v>-0.84511750191564516</v>
      </c>
      <c r="T16" s="28">
        <f t="shared" si="5"/>
        <v>10.445117501915647</v>
      </c>
      <c r="U16">
        <v>0</v>
      </c>
    </row>
    <row r="17" spans="1:21" x14ac:dyDescent="0.3">
      <c r="A17">
        <f t="shared" si="6"/>
        <v>11</v>
      </c>
      <c r="B17" s="18">
        <f>FiscalPolicy!V17</f>
        <v>7.1</v>
      </c>
      <c r="C17" s="49">
        <f>AVERAGE('1990recession'!N38:N40)</f>
        <v>0.4463304237948757</v>
      </c>
      <c r="D17" s="49">
        <f>FiscalPolicy!Q17</f>
        <v>0.45154986381657136</v>
      </c>
      <c r="E17" s="49">
        <f t="shared" si="0"/>
        <v>0.89788028761144711</v>
      </c>
      <c r="F17" s="28">
        <f t="shared" si="1"/>
        <v>6.2021197123885532</v>
      </c>
      <c r="H17">
        <f t="shared" si="7"/>
        <v>11</v>
      </c>
      <c r="I17" s="18">
        <f>FiscalPolicy!X17</f>
        <v>5.8</v>
      </c>
      <c r="J17" s="49">
        <f>AVERAGE('2001recession'!$N38:$N40)</f>
        <v>0.30816198855042937</v>
      </c>
      <c r="K17" s="49">
        <f>FiscalPolicy!R17</f>
        <v>-0.97553339938900629</v>
      </c>
      <c r="L17" s="49">
        <f t="shared" si="2"/>
        <v>-0.66737141083857687</v>
      </c>
      <c r="M17" s="28">
        <f t="shared" si="3"/>
        <v>6.4673714108385774</v>
      </c>
      <c r="O17">
        <f t="shared" si="8"/>
        <v>11</v>
      </c>
      <c r="P17" s="18">
        <f>FiscalPolicy!Z17</f>
        <v>9.5</v>
      </c>
      <c r="Q17" s="49">
        <f>AVERAGE('2007recession'!N38:N40)</f>
        <v>0.37005518149375588</v>
      </c>
      <c r="R17" s="49">
        <f>FiscalPolicy!S17</f>
        <v>-1.0419283840120108</v>
      </c>
      <c r="S17" s="49">
        <f t="shared" si="4"/>
        <v>-0.671873202518255</v>
      </c>
      <c r="T17" s="28">
        <f t="shared" si="5"/>
        <v>10.171873202518254</v>
      </c>
      <c r="U17">
        <v>0</v>
      </c>
    </row>
    <row r="18" spans="1:21" x14ac:dyDescent="0.3">
      <c r="A18">
        <f t="shared" si="6"/>
        <v>12</v>
      </c>
      <c r="B18" s="18">
        <f>FiscalPolicy!V18</f>
        <v>6.8</v>
      </c>
      <c r="C18" s="49">
        <f>AVERAGE('1990recession'!N41:N43)</f>
        <v>0.50223703318200164</v>
      </c>
      <c r="D18" s="49">
        <f>FiscalPolicy!Q18</f>
        <v>0.57405986765275818</v>
      </c>
      <c r="E18" s="49">
        <f t="shared" si="0"/>
        <v>1.0762969008347598</v>
      </c>
      <c r="F18" s="28">
        <f t="shared" si="1"/>
        <v>5.72370309916524</v>
      </c>
      <c r="H18">
        <f t="shared" si="7"/>
        <v>12</v>
      </c>
      <c r="I18" s="18">
        <f>FiscalPolicy!X18</f>
        <v>5.7</v>
      </c>
      <c r="J18" s="49">
        <f>AVERAGE('2001recession'!$N41:$N43)</f>
        <v>0.37457113106013012</v>
      </c>
      <c r="K18" s="49">
        <f>FiscalPolicy!R18</f>
        <v>-0.93523583299972612</v>
      </c>
      <c r="L18" s="49">
        <f t="shared" si="2"/>
        <v>-0.56066470193959606</v>
      </c>
      <c r="M18" s="28">
        <f t="shared" si="3"/>
        <v>6.2606647019395965</v>
      </c>
      <c r="O18">
        <f t="shared" si="8"/>
        <v>12</v>
      </c>
      <c r="P18" s="18">
        <f>FiscalPolicy!Z18</f>
        <v>9.5</v>
      </c>
      <c r="Q18" s="49">
        <f>AVERAGE('2007recession'!N41:N43)</f>
        <v>0.74135164455957925</v>
      </c>
      <c r="R18" s="49">
        <f>FiscalPolicy!S18</f>
        <v>-0.86860238752534924</v>
      </c>
      <c r="S18" s="49">
        <f t="shared" si="4"/>
        <v>-0.12725074296576999</v>
      </c>
      <c r="T18" s="28">
        <f t="shared" si="5"/>
        <v>9.6272507429657708</v>
      </c>
      <c r="U18">
        <v>0</v>
      </c>
    </row>
    <row r="19" spans="1:21" x14ac:dyDescent="0.3">
      <c r="A19">
        <f t="shared" si="6"/>
        <v>13</v>
      </c>
      <c r="B19" s="18">
        <f>FiscalPolicy!V19</f>
        <v>6.6</v>
      </c>
      <c r="C19" s="49">
        <f>AVERAGE('1990recession'!N44:N46)</f>
        <v>0.48800315828895563</v>
      </c>
      <c r="D19" s="49">
        <f>FiscalPolicy!Q19</f>
        <v>0.65689451413461697</v>
      </c>
      <c r="E19" s="49">
        <f t="shared" si="0"/>
        <v>1.1448976724235727</v>
      </c>
      <c r="F19" s="28">
        <f t="shared" si="1"/>
        <v>5.4551023275764274</v>
      </c>
      <c r="H19">
        <f t="shared" si="7"/>
        <v>13</v>
      </c>
      <c r="I19" s="18">
        <f>FiscalPolicy!X19</f>
        <v>5.6</v>
      </c>
      <c r="J19" s="49">
        <f>AVERAGE('2001recession'!$N44:$N46)</f>
        <v>0.35129961635569867</v>
      </c>
      <c r="K19" s="49">
        <f>FiscalPolicy!R19</f>
        <v>-0.9148315057688774</v>
      </c>
      <c r="L19" s="49">
        <f t="shared" si="2"/>
        <v>-0.56353188941317867</v>
      </c>
      <c r="M19" s="28">
        <f t="shared" si="3"/>
        <v>6.1635318894131785</v>
      </c>
      <c r="O19">
        <f t="shared" si="8"/>
        <v>13</v>
      </c>
      <c r="P19" s="18">
        <f>FiscalPolicy!Z19</f>
        <v>9</v>
      </c>
      <c r="Q19" s="49">
        <f>AVERAGE('2007recession'!N44:N46)</f>
        <v>1.0785711145216796</v>
      </c>
      <c r="R19" s="49">
        <f>FiscalPolicy!S19</f>
        <v>-0.72550215029908638</v>
      </c>
      <c r="S19" s="49">
        <f t="shared" si="4"/>
        <v>0.35306896422259326</v>
      </c>
      <c r="T19" s="28">
        <f t="shared" si="5"/>
        <v>8.6469310357774063</v>
      </c>
      <c r="U19">
        <v>0</v>
      </c>
    </row>
    <row r="20" spans="1:21" x14ac:dyDescent="0.3">
      <c r="A20">
        <f t="shared" si="6"/>
        <v>14</v>
      </c>
      <c r="B20" s="18">
        <f>FiscalPolicy!V20</f>
        <v>6.6</v>
      </c>
      <c r="C20" s="49">
        <f>AVERAGE('1990recession'!N47:N49)</f>
        <v>0.61592160629203507</v>
      </c>
      <c r="D20" s="49">
        <f>FiscalPolicy!Q20</f>
        <v>0.63987859051688811</v>
      </c>
      <c r="E20" s="49">
        <f t="shared" si="0"/>
        <v>1.2558001968089232</v>
      </c>
      <c r="F20" s="28">
        <f t="shared" si="1"/>
        <v>5.344199803191076</v>
      </c>
      <c r="H20">
        <f t="shared" si="7"/>
        <v>14</v>
      </c>
      <c r="I20" s="18">
        <f>FiscalPolicy!X20</f>
        <v>5.4</v>
      </c>
      <c r="J20" s="49">
        <f>AVERAGE('2001recession'!$N47:$N49)</f>
        <v>0.45210850917760981</v>
      </c>
      <c r="K20" s="49">
        <f>FiscalPolicy!R20</f>
        <v>-0.9343460707207053</v>
      </c>
      <c r="L20" s="49">
        <f t="shared" si="2"/>
        <v>-0.48223756154309549</v>
      </c>
      <c r="M20" s="28">
        <f t="shared" si="3"/>
        <v>5.8822375615430964</v>
      </c>
      <c r="O20">
        <f t="shared" si="8"/>
        <v>14</v>
      </c>
      <c r="P20" s="18">
        <f>FiscalPolicy!Z20</f>
        <v>9</v>
      </c>
      <c r="Q20" s="49">
        <f>AVERAGE('2007recession'!N47:N49)</f>
        <v>1.427733217268248</v>
      </c>
      <c r="R20" s="49">
        <f>FiscalPolicy!S20</f>
        <v>-0.96028011704510075</v>
      </c>
      <c r="S20" s="49">
        <f t="shared" si="4"/>
        <v>0.46745310022314723</v>
      </c>
      <c r="T20" s="28">
        <f t="shared" si="5"/>
        <v>8.5325468997768539</v>
      </c>
      <c r="U20">
        <v>0</v>
      </c>
    </row>
    <row r="21" spans="1:21" x14ac:dyDescent="0.3">
      <c r="A21">
        <f t="shared" si="6"/>
        <v>15</v>
      </c>
      <c r="B21" s="18">
        <f>FiscalPolicy!V21</f>
        <v>6.2</v>
      </c>
      <c r="C21" s="49">
        <f>AVERAGE('1990recession'!N50:N52)</f>
        <v>0.70296973758655934</v>
      </c>
      <c r="D21" s="49">
        <f>FiscalPolicy!Q21</f>
        <v>0.92025993187788724</v>
      </c>
      <c r="E21" s="49">
        <f t="shared" si="0"/>
        <v>1.6232296694644466</v>
      </c>
      <c r="F21" s="28">
        <f t="shared" si="1"/>
        <v>4.5767703305355534</v>
      </c>
      <c r="H21">
        <f t="shared" si="7"/>
        <v>15</v>
      </c>
      <c r="I21" s="18">
        <f>FiscalPolicy!X21</f>
        <v>5.4</v>
      </c>
      <c r="J21" s="49">
        <f>AVERAGE('2001recession'!$N50:$N52)</f>
        <v>0.56489290468212872</v>
      </c>
      <c r="K21" s="49">
        <f>FiscalPolicy!R21</f>
        <v>-0.77515217186017737</v>
      </c>
      <c r="L21" s="49">
        <f t="shared" si="2"/>
        <v>-0.21025926717804866</v>
      </c>
      <c r="M21" s="28">
        <f t="shared" si="3"/>
        <v>5.6102592671780487</v>
      </c>
      <c r="O21">
        <f t="shared" si="8"/>
        <v>15</v>
      </c>
      <c r="P21" s="18">
        <f>FiscalPolicy!Z21</f>
        <v>9</v>
      </c>
      <c r="Q21" s="49">
        <f>AVERAGE('2007recession'!N50:N52)</f>
        <v>1.6239367495446526</v>
      </c>
      <c r="R21" s="49">
        <f>FiscalPolicy!S21</f>
        <v>-0.5839040696334088</v>
      </c>
      <c r="S21" s="49">
        <f t="shared" si="4"/>
        <v>1.0400326799112438</v>
      </c>
      <c r="T21" s="28">
        <f t="shared" si="5"/>
        <v>7.9599673200887562</v>
      </c>
      <c r="U21">
        <v>0</v>
      </c>
    </row>
    <row r="22" spans="1:21" x14ac:dyDescent="0.3">
      <c r="A22">
        <f t="shared" si="6"/>
        <v>16</v>
      </c>
      <c r="B22" s="18">
        <f>FiscalPolicy!V22</f>
        <v>6</v>
      </c>
      <c r="C22" s="49">
        <f>AVERAGE('1990recession'!N53:N55)</f>
        <v>0.75253779975854496</v>
      </c>
      <c r="D22" s="49">
        <f>FiscalPolicy!Q22</f>
        <v>0.86172153971356946</v>
      </c>
      <c r="E22" s="49">
        <f t="shared" si="0"/>
        <v>1.6142593394721145</v>
      </c>
      <c r="F22" s="28">
        <f t="shared" si="1"/>
        <v>4.3857406605278859</v>
      </c>
      <c r="H22">
        <f t="shared" si="7"/>
        <v>16</v>
      </c>
      <c r="I22" s="18">
        <f>FiscalPolicy!X22</f>
        <v>5.3</v>
      </c>
      <c r="J22" s="49">
        <f>AVERAGE('2001recession'!$N53:$N55)</f>
        <v>0.60427991993180008</v>
      </c>
      <c r="K22" s="49">
        <f>FiscalPolicy!R22</f>
        <v>-0.5564605688920653</v>
      </c>
      <c r="L22" s="49">
        <f t="shared" si="2"/>
        <v>4.7819351039734781E-2</v>
      </c>
      <c r="M22" s="28">
        <f t="shared" si="3"/>
        <v>5.2521806489602652</v>
      </c>
      <c r="O22">
        <f t="shared" si="8"/>
        <v>16</v>
      </c>
      <c r="P22" s="18">
        <f>FiscalPolicy!Z22</f>
        <v>8.6999999999999993</v>
      </c>
      <c r="Q22" s="49">
        <f>AVERAGE('2007recession'!N53:N55)</f>
        <v>1.5880206727824897</v>
      </c>
      <c r="R22" s="49">
        <f>FiscalPolicy!S22</f>
        <v>-0.47147606028788458</v>
      </c>
      <c r="S22" s="49">
        <f t="shared" si="4"/>
        <v>1.116544612494605</v>
      </c>
      <c r="T22" s="28">
        <f t="shared" si="5"/>
        <v>7.5834553875053947</v>
      </c>
      <c r="U22">
        <v>0</v>
      </c>
    </row>
    <row r="23" spans="1:21" x14ac:dyDescent="0.3">
      <c r="A23">
        <f t="shared" si="6"/>
        <v>17</v>
      </c>
      <c r="B23" s="18">
        <f>FiscalPolicy!V23</f>
        <v>5.6</v>
      </c>
      <c r="C23" s="49">
        <f>AVERAGE('1990recession'!N56:N58)</f>
        <v>0.82027153879015591</v>
      </c>
      <c r="D23" s="49"/>
      <c r="E23" s="49"/>
      <c r="H23">
        <f t="shared" si="7"/>
        <v>17</v>
      </c>
      <c r="I23" s="18">
        <f>FiscalPolicy!X23</f>
        <v>5.0999999999999996</v>
      </c>
      <c r="J23" s="49">
        <f>AVERAGE('2001recession'!$N56:$N58)</f>
        <v>0.67244749348351451</v>
      </c>
      <c r="K23" s="49"/>
      <c r="L23" s="49"/>
      <c r="O23">
        <f t="shared" si="8"/>
        <v>17</v>
      </c>
      <c r="P23" s="18">
        <f>FiscalPolicy!Z23</f>
        <v>8.3000000000000007</v>
      </c>
      <c r="Q23" s="49">
        <f>AVERAGE('2007recession'!N56:N58)</f>
        <v>1.4711226493621703</v>
      </c>
      <c r="R23" s="49"/>
      <c r="S23" s="49"/>
    </row>
    <row r="24" spans="1:21" x14ac:dyDescent="0.3">
      <c r="A24">
        <f t="shared" si="6"/>
        <v>18</v>
      </c>
      <c r="B24" s="18">
        <f>FiscalPolicy!V24</f>
        <v>5.5</v>
      </c>
      <c r="C24" s="49">
        <f>AVERAGE('1990recession'!N59:N61)</f>
        <v>0.72729306414019745</v>
      </c>
      <c r="D24" s="49"/>
      <c r="E24" s="49"/>
      <c r="H24">
        <f t="shared" si="7"/>
        <v>18</v>
      </c>
      <c r="I24" s="18"/>
      <c r="J24" s="49">
        <f>AVERAGE('2001recession'!$N59:$N61)</f>
        <v>0.55817391277919637</v>
      </c>
      <c r="K24" s="49"/>
      <c r="L24" s="49"/>
      <c r="O24">
        <f t="shared" si="8"/>
        <v>18</v>
      </c>
      <c r="P24" s="18">
        <f>FiscalPolicy!Z24</f>
        <v>8.1999999999999993</v>
      </c>
      <c r="Q24" s="49">
        <f>AVERAGE('2007recession'!N59:N61)</f>
        <v>1.2022235973788733</v>
      </c>
      <c r="R24" s="49"/>
      <c r="S24" s="49"/>
    </row>
    <row r="25" spans="1:21" x14ac:dyDescent="0.3">
      <c r="A25">
        <f t="shared" si="6"/>
        <v>19</v>
      </c>
      <c r="B25" s="18">
        <f>FiscalPolicy!V25</f>
        <v>5.7</v>
      </c>
      <c r="C25" s="49">
        <f>AVERAGE('1990recession'!N62:N64)</f>
        <v>0.61660146727757981</v>
      </c>
      <c r="D25" s="49"/>
      <c r="E25" s="49"/>
      <c r="H25">
        <f t="shared" si="7"/>
        <v>19</v>
      </c>
      <c r="I25" s="18"/>
      <c r="J25" s="49">
        <f>AVERAGE('2001recession'!$N62:$N64)</f>
        <v>0.41905768956015432</v>
      </c>
      <c r="K25" s="49"/>
      <c r="L25" s="49"/>
      <c r="O25">
        <f t="shared" si="8"/>
        <v>19</v>
      </c>
      <c r="P25" s="18">
        <f>FiscalPolicy!Z25</f>
        <v>8</v>
      </c>
      <c r="Q25" s="49">
        <f>AVERAGE('2007recession'!N62:N64)</f>
        <v>0.92342189045198086</v>
      </c>
      <c r="R25" s="49"/>
      <c r="S25" s="49"/>
    </row>
    <row r="26" spans="1:21" x14ac:dyDescent="0.3">
      <c r="A26">
        <f t="shared" si="6"/>
        <v>20</v>
      </c>
      <c r="B26" s="18">
        <f>FiscalPolicy!V26</f>
        <v>5.7</v>
      </c>
      <c r="C26" s="49">
        <f>AVERAGE('1990recession'!N65:N67)</f>
        <v>0.46041270794018629</v>
      </c>
      <c r="D26" s="49"/>
      <c r="E26" s="49"/>
      <c r="H26">
        <f t="shared" si="7"/>
        <v>20</v>
      </c>
      <c r="I26" s="18"/>
      <c r="J26" s="49">
        <f>AVERAGE('2001recession'!$N65:$N67)</f>
        <v>0.24948013225498752</v>
      </c>
      <c r="K26" s="49"/>
      <c r="L26" s="49"/>
      <c r="O26">
        <f t="shared" si="8"/>
        <v>20</v>
      </c>
      <c r="P26" s="18">
        <f>FiscalPolicy!Z26</f>
        <v>7.8</v>
      </c>
      <c r="Q26" s="49">
        <f>AVERAGE('2007recession'!N65:N67)</f>
        <v>0.59269724528591339</v>
      </c>
      <c r="R26" s="49"/>
      <c r="S26" s="49"/>
    </row>
    <row r="27" spans="1:21" x14ac:dyDescent="0.3">
      <c r="A27">
        <f t="shared" si="6"/>
        <v>21</v>
      </c>
      <c r="B27" s="18"/>
      <c r="C27" s="49">
        <f>AVERAGE('1990recession'!N68:N70)</f>
        <v>0.41194627454331401</v>
      </c>
      <c r="D27" s="49"/>
      <c r="E27" s="49"/>
      <c r="H27">
        <f t="shared" si="7"/>
        <v>21</v>
      </c>
      <c r="I27" s="18"/>
      <c r="J27" s="49">
        <f>AVERAGE('2001recession'!$N68:$N70)</f>
        <v>0.18388598174385129</v>
      </c>
      <c r="K27" s="49"/>
      <c r="L27" s="49"/>
      <c r="O27">
        <f t="shared" si="8"/>
        <v>21</v>
      </c>
      <c r="P27" s="18">
        <f>FiscalPolicy!Z27</f>
        <v>7.7</v>
      </c>
      <c r="Q27" s="49">
        <f>AVERAGE('2007recession'!N68:N70)</f>
        <v>0.32398420819616841</v>
      </c>
      <c r="R27" s="49"/>
      <c r="S27" s="49"/>
    </row>
    <row r="28" spans="1:21" x14ac:dyDescent="0.3">
      <c r="A28">
        <f t="shared" si="6"/>
        <v>22</v>
      </c>
      <c r="C28" s="49"/>
      <c r="D28" s="49"/>
      <c r="E28" s="49"/>
      <c r="H28">
        <f t="shared" si="7"/>
        <v>22</v>
      </c>
      <c r="J28" s="49"/>
      <c r="K28" s="49"/>
      <c r="L28" s="49"/>
      <c r="O28">
        <f t="shared" si="8"/>
        <v>22</v>
      </c>
      <c r="P28" s="18">
        <f>FiscalPolicy!Z28</f>
        <v>7.6</v>
      </c>
      <c r="Q28" s="49"/>
      <c r="R28" s="49"/>
      <c r="S28" s="49"/>
    </row>
    <row r="29" spans="1:21" x14ac:dyDescent="0.3">
      <c r="A29">
        <f t="shared" si="6"/>
        <v>23</v>
      </c>
      <c r="C29" s="49"/>
      <c r="D29" s="49"/>
      <c r="E29" s="49"/>
      <c r="H29">
        <f t="shared" si="7"/>
        <v>23</v>
      </c>
      <c r="J29" s="49"/>
      <c r="K29" s="49"/>
      <c r="L29" s="49"/>
      <c r="O29">
        <f t="shared" si="8"/>
        <v>23</v>
      </c>
      <c r="P29" s="18"/>
      <c r="Q29" s="49"/>
      <c r="R29" s="49"/>
      <c r="S29" s="49"/>
    </row>
    <row r="30" spans="1:21" x14ac:dyDescent="0.3">
      <c r="C30" s="49"/>
      <c r="D30" s="49"/>
      <c r="E30" s="49"/>
      <c r="J30" s="49"/>
      <c r="K30" s="49"/>
      <c r="L30" s="49"/>
      <c r="P30" s="18"/>
      <c r="Q30" s="49"/>
      <c r="R30" s="49"/>
      <c r="S30" s="49"/>
    </row>
    <row r="31" spans="1:21" x14ac:dyDescent="0.3">
      <c r="C31" s="49"/>
      <c r="D31" s="49"/>
      <c r="E31" s="49"/>
      <c r="J31" s="49"/>
      <c r="K31" s="49"/>
      <c r="L31" s="49"/>
      <c r="P31" s="18"/>
      <c r="Q31" s="49"/>
      <c r="R31" s="49"/>
      <c r="S31" s="49"/>
    </row>
    <row r="32" spans="1:21" x14ac:dyDescent="0.3">
      <c r="J32" s="49"/>
      <c r="P32" s="18"/>
      <c r="Q32" s="49"/>
    </row>
    <row r="33" spans="10:17" x14ac:dyDescent="0.3">
      <c r="J33" s="49"/>
      <c r="Q33" s="49"/>
    </row>
    <row r="34" spans="10:17" x14ac:dyDescent="0.3">
      <c r="J34" s="49"/>
      <c r="Q34" s="49"/>
    </row>
    <row r="35" spans="10:17" x14ac:dyDescent="0.3">
      <c r="J35" s="49"/>
      <c r="Q35" s="49"/>
    </row>
  </sheetData>
  <mergeCells count="3">
    <mergeCell ref="B3:F3"/>
    <mergeCell ref="I3:M3"/>
    <mergeCell ref="P3:T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"/>
  <sheetViews>
    <sheetView topLeftCell="H1" workbookViewId="0">
      <selection activeCell="I10" sqref="I10"/>
    </sheetView>
  </sheetViews>
  <sheetFormatPr defaultRowHeight="14.4" x14ac:dyDescent="0.3"/>
  <cols>
    <col min="1" max="3" width="10.6640625" style="50" customWidth="1"/>
    <col min="4" max="4" width="10.6640625" style="51" customWidth="1"/>
    <col min="7" max="7" width="9.5546875" bestFit="1" customWidth="1"/>
    <col min="10" max="10" width="3.5546875" customWidth="1"/>
  </cols>
  <sheetData>
    <row r="1" spans="1:15" x14ac:dyDescent="0.3">
      <c r="F1" s="54" t="s">
        <v>113</v>
      </c>
    </row>
    <row r="4" spans="1:15" x14ac:dyDescent="0.3">
      <c r="B4" s="50" t="s">
        <v>115</v>
      </c>
      <c r="D4" s="51" t="s">
        <v>117</v>
      </c>
      <c r="F4" s="58" t="s">
        <v>23</v>
      </c>
      <c r="G4" s="58"/>
      <c r="H4" s="58"/>
      <c r="I4" s="58"/>
      <c r="L4" s="58" t="s">
        <v>118</v>
      </c>
      <c r="M4" s="58"/>
      <c r="N4" s="58"/>
      <c r="O4" s="58"/>
    </row>
    <row r="5" spans="1:15" x14ac:dyDescent="0.3">
      <c r="A5" s="52"/>
      <c r="B5" s="52" t="s">
        <v>116</v>
      </c>
      <c r="C5" s="52"/>
      <c r="D5" s="53" t="s">
        <v>116</v>
      </c>
      <c r="E5" s="55"/>
      <c r="F5" s="16" t="s">
        <v>114</v>
      </c>
      <c r="G5" s="16">
        <v>1990</v>
      </c>
      <c r="H5" s="16">
        <v>2001</v>
      </c>
      <c r="I5" s="16">
        <v>2007</v>
      </c>
      <c r="K5" s="4"/>
      <c r="L5" s="16" t="s">
        <v>114</v>
      </c>
      <c r="M5" s="16">
        <v>1990</v>
      </c>
      <c r="N5" s="16">
        <v>2001</v>
      </c>
      <c r="O5" s="16">
        <v>2007</v>
      </c>
    </row>
    <row r="6" spans="1:15" x14ac:dyDescent="0.3">
      <c r="A6" s="50">
        <v>-1</v>
      </c>
      <c r="B6" s="50">
        <v>0</v>
      </c>
      <c r="C6" s="50">
        <v>-1</v>
      </c>
      <c r="D6" s="51">
        <f>0</f>
        <v>0</v>
      </c>
      <c r="E6">
        <v>-1</v>
      </c>
      <c r="F6" s="49">
        <f>D6/MAX(D$6:D$23)</f>
        <v>0</v>
      </c>
      <c r="G6" s="18">
        <f>0</f>
        <v>0</v>
      </c>
      <c r="H6" s="18">
        <v>0</v>
      </c>
      <c r="I6" s="18">
        <v>0</v>
      </c>
      <c r="K6">
        <v>-1</v>
      </c>
      <c r="L6" s="49">
        <f>0</f>
        <v>0</v>
      </c>
      <c r="M6" s="18">
        <f>0</f>
        <v>0</v>
      </c>
      <c r="N6" s="18">
        <v>0</v>
      </c>
      <c r="O6" s="18">
        <v>0</v>
      </c>
    </row>
    <row r="7" spans="1:15" x14ac:dyDescent="0.3">
      <c r="A7" s="50">
        <v>0</v>
      </c>
      <c r="B7" s="50">
        <v>3.7703156311197734E-3</v>
      </c>
      <c r="C7" s="50">
        <v>0</v>
      </c>
      <c r="D7" s="51">
        <f>AVERAGE(B7:B9)</f>
        <v>6.6713096969737443E-2</v>
      </c>
      <c r="E7">
        <v>0</v>
      </c>
      <c r="F7" s="49">
        <f t="shared" ref="F7:F23" si="0">D7/MAX(D$6:D$23)</f>
        <v>6.738138250569406E-2</v>
      </c>
      <c r="G7" s="49">
        <f>(combined!B6-combined!B$5)/(MAX(combined!B$6:B$22)-combined!B$5)</f>
        <v>0.17391304347826103</v>
      </c>
      <c r="H7" s="49">
        <f>(combined!I6-combined!I$5)/(MAX(combined!I$6:I$22)-combined!I$5)</f>
        <v>0.13636363636363649</v>
      </c>
      <c r="I7" s="49">
        <f>(combined!P6-combined!P$5)/(MAX(combined!P$6:P$22)-combined!P$5)</f>
        <v>1.9230769230769162E-2</v>
      </c>
      <c r="K7">
        <v>0</v>
      </c>
      <c r="L7" s="49">
        <f>D7/(MAX(D$7:D$23))</f>
        <v>6.738138250569406E-2</v>
      </c>
      <c r="M7" s="49">
        <f>(combined!F6-combined!F$5)/(MAX(combined!F$6:F$22)-combined!F$5)</f>
        <v>0.11296033519899076</v>
      </c>
      <c r="N7" s="49">
        <f>(combined!M6-combined!M$5)/(MAX(combined!M$6:M$22)-combined!M$5)</f>
        <v>6.68318265955756E-2</v>
      </c>
      <c r="O7" s="49">
        <f>(combined!T6-combined!T$5)/(MAX(combined!T$6:T$22)-combined!T$5)</f>
        <v>1.0376400498334729E-2</v>
      </c>
    </row>
    <row r="8" spans="1:15" x14ac:dyDescent="0.3">
      <c r="A8" s="50">
        <v>1</v>
      </c>
      <c r="B8" s="50">
        <v>5.6064838630342347E-2</v>
      </c>
      <c r="C8" s="50">
        <v>1</v>
      </c>
      <c r="D8" s="51">
        <f>AVERAGE(B10:B12)</f>
        <v>0.39177070761383487</v>
      </c>
      <c r="E8">
        <v>1</v>
      </c>
      <c r="F8" s="49">
        <f t="shared" si="0"/>
        <v>0.39569519484650795</v>
      </c>
      <c r="G8" s="49">
        <f>(combined!B7-combined!B$5)/(MAX(combined!B$6:B$22)-combined!B$5)</f>
        <v>0.34782608695652167</v>
      </c>
      <c r="H8" s="49">
        <f>(combined!I7-combined!I$5)/(MAX(combined!I$6:I$22)-combined!I$5)</f>
        <v>0.22727272727272751</v>
      </c>
      <c r="I8" s="49">
        <f>(combined!P7-combined!P$5)/(MAX(combined!P$6:P$22)-combined!P$5)</f>
        <v>5.7692307692307654E-2</v>
      </c>
      <c r="K8">
        <v>1</v>
      </c>
      <c r="L8" s="49">
        <f t="shared" ref="L8:L23" si="1">D8/(MAX(D$7:D$23))</f>
        <v>0.39569519484650795</v>
      </c>
      <c r="M8" s="49">
        <f>(combined!F7-combined!F$5)/(MAX(combined!F$6:F$22)-combined!F$5)</f>
        <v>0.27417997681463052</v>
      </c>
      <c r="N8" s="49">
        <f>(combined!M7-combined!M$5)/(MAX(combined!M$6:M$22)-combined!M$5)</f>
        <v>0.17180194148710995</v>
      </c>
      <c r="O8" s="49">
        <f>(combined!T7-combined!T$5)/(MAX(combined!T$6:T$22)-combined!T$5)</f>
        <v>6.88362147855687E-2</v>
      </c>
    </row>
    <row r="9" spans="1:15" x14ac:dyDescent="0.3">
      <c r="A9" s="50">
        <f>A8+1</f>
        <v>2</v>
      </c>
      <c r="B9" s="50">
        <v>0.14030413664775024</v>
      </c>
      <c r="C9" s="50">
        <v>2</v>
      </c>
      <c r="D9" s="51">
        <f>AVERAGE(B13:B15)</f>
        <v>0.72477612280385861</v>
      </c>
      <c r="E9">
        <f t="shared" ref="E9:E23" si="2">E8+1</f>
        <v>2</v>
      </c>
      <c r="F9" s="49">
        <f t="shared" si="0"/>
        <v>0.73203642732691576</v>
      </c>
      <c r="G9" s="49">
        <f>(combined!B8-combined!B$5)/(MAX(combined!B$6:B$22)-combined!B$5)</f>
        <v>0.56521739130434778</v>
      </c>
      <c r="H9" s="49">
        <f>(combined!I8-combined!I$5)/(MAX(combined!I$6:I$22)-combined!I$5)</f>
        <v>0.40909090909090912</v>
      </c>
      <c r="I9" s="49">
        <f>(combined!P8-combined!P$5)/(MAX(combined!P$6:P$22)-combined!P$5)</f>
        <v>0.11538461538461531</v>
      </c>
      <c r="K9">
        <f t="shared" ref="K9:K23" si="3">K8+1</f>
        <v>2</v>
      </c>
      <c r="L9" s="49">
        <f t="shared" si="1"/>
        <v>0.73203642732691576</v>
      </c>
      <c r="M9" s="49">
        <f>(combined!F8-combined!F$5)/(MAX(combined!F$6:F$22)-combined!F$5)</f>
        <v>0.30730158137003111</v>
      </c>
      <c r="N9" s="49">
        <f>(combined!M8-combined!M$5)/(MAX(combined!M$6:M$22)-combined!M$5)</f>
        <v>0.48893566530248123</v>
      </c>
      <c r="O9" s="49">
        <f>(combined!T8-combined!T$5)/(MAX(combined!T$6:T$22)-combined!T$5)</f>
        <v>0.25632380313734188</v>
      </c>
    </row>
    <row r="10" spans="1:15" x14ac:dyDescent="0.3">
      <c r="A10" s="50">
        <f t="shared" ref="A10:A66" si="4">A9+1</f>
        <v>3</v>
      </c>
      <c r="B10" s="50">
        <v>0.27918415749185221</v>
      </c>
      <c r="C10" s="50">
        <v>3</v>
      </c>
      <c r="D10" s="51">
        <f>AVERAGE(B16:B18)</f>
        <v>0.90482002519818128</v>
      </c>
      <c r="E10">
        <f t="shared" si="2"/>
        <v>3</v>
      </c>
      <c r="F10" s="49">
        <f t="shared" si="0"/>
        <v>0.91388388466430892</v>
      </c>
      <c r="G10" s="49">
        <f>(combined!B9-combined!B$5)/(MAX(combined!B$6:B$22)-combined!B$5)</f>
        <v>0.65217391304347827</v>
      </c>
      <c r="H10" s="49">
        <f>(combined!I9-combined!I$5)/(MAX(combined!I$6:I$22)-combined!I$5)</f>
        <v>0.7272727272727274</v>
      </c>
      <c r="I10" s="49">
        <f>(combined!P9-combined!P$5)/(MAX(combined!P$6:P$22)-combined!P$5)</f>
        <v>0.24999999999999994</v>
      </c>
      <c r="K10">
        <f t="shared" si="3"/>
        <v>3</v>
      </c>
      <c r="L10" s="49">
        <f t="shared" si="1"/>
        <v>0.91388388466430892</v>
      </c>
      <c r="M10" s="49">
        <f>(combined!F9-combined!F$5)/(MAX(combined!F$6:F$22)-combined!F$5)</f>
        <v>0.57857995980423549</v>
      </c>
      <c r="N10" s="49">
        <f>(combined!M9-combined!M$5)/(MAX(combined!M$6:M$22)-combined!M$5)</f>
        <v>0.56915410491236174</v>
      </c>
      <c r="O10" s="49">
        <f>(combined!T9-combined!T$5)/(MAX(combined!T$6:T$22)-combined!T$5)</f>
        <v>0.29654025118868654</v>
      </c>
    </row>
    <row r="11" spans="1:15" x14ac:dyDescent="0.3">
      <c r="A11" s="50">
        <f t="shared" si="4"/>
        <v>4</v>
      </c>
      <c r="B11" s="50">
        <v>0.3975930709212146</v>
      </c>
      <c r="C11" s="50">
        <v>4</v>
      </c>
      <c r="D11" s="51">
        <f>AVERAGE(B19:B21)</f>
        <v>0.99008204475620332</v>
      </c>
      <c r="E11">
        <f t="shared" si="2"/>
        <v>4</v>
      </c>
      <c r="F11" s="49">
        <f t="shared" si="0"/>
        <v>1</v>
      </c>
      <c r="G11" s="49">
        <f>(combined!B10-combined!B$5)/(MAX(combined!B$6:B$22)-combined!B$5)</f>
        <v>0.69565217391304379</v>
      </c>
      <c r="H11" s="49">
        <f>(combined!I10-combined!I$5)/(MAX(combined!I$6:I$22)-combined!I$5)</f>
        <v>0.81818181818181845</v>
      </c>
      <c r="I11" s="49">
        <f>(combined!P10-combined!P$5)/(MAX(combined!P$6:P$22)-combined!P$5)</f>
        <v>0.42307692307692307</v>
      </c>
      <c r="K11">
        <f t="shared" si="3"/>
        <v>4</v>
      </c>
      <c r="L11" s="49">
        <f t="shared" si="1"/>
        <v>1</v>
      </c>
      <c r="M11" s="49">
        <f>(combined!F10-combined!F$5)/(MAX(combined!F$6:F$22)-combined!F$5)</f>
        <v>0.64272307533368345</v>
      </c>
      <c r="N11" s="49">
        <f>(combined!M10-combined!M$5)/(MAX(combined!M$6:M$22)-combined!M$5)</f>
        <v>0.84015637030332857</v>
      </c>
      <c r="O11" s="49">
        <f>(combined!T10-combined!T$5)/(MAX(combined!T$6:T$22)-combined!T$5)</f>
        <v>0.39899445265819017</v>
      </c>
    </row>
    <row r="12" spans="1:15" x14ac:dyDescent="0.3">
      <c r="A12" s="50">
        <f t="shared" si="4"/>
        <v>5</v>
      </c>
      <c r="B12" s="50">
        <v>0.49853489442843785</v>
      </c>
      <c r="C12" s="50">
        <v>5</v>
      </c>
      <c r="D12" s="51">
        <f>AVERAGE(B22:B24)</f>
        <v>0.95948435945211263</v>
      </c>
      <c r="E12">
        <f t="shared" si="2"/>
        <v>5</v>
      </c>
      <c r="F12" s="49">
        <f t="shared" si="0"/>
        <v>0.96909580830584097</v>
      </c>
      <c r="G12" s="49">
        <f>(combined!B11-combined!B$5)/(MAX(combined!B$6:B$22)-combined!B$5)</f>
        <v>0.78260869565217395</v>
      </c>
      <c r="H12" s="49">
        <f>(combined!I11-combined!I$5)/(MAX(combined!I$6:I$22)-combined!I$5)</f>
        <v>0.86363636363636365</v>
      </c>
      <c r="I12" s="49">
        <f>(combined!P11-combined!P$5)/(MAX(combined!P$6:P$22)-combined!P$5)</f>
        <v>0.6923076923076924</v>
      </c>
      <c r="K12">
        <f t="shared" si="3"/>
        <v>5</v>
      </c>
      <c r="L12" s="49">
        <f t="shared" si="1"/>
        <v>0.96909580830584097</v>
      </c>
      <c r="M12" s="49">
        <f>(combined!F11-combined!F$5)/(MAX(combined!F$6:F$22)-combined!F$5)</f>
        <v>0.7164804718372203</v>
      </c>
      <c r="N12" s="49">
        <f>(combined!M11-combined!M$5)/(MAX(combined!M$6:M$22)-combined!M$5)</f>
        <v>0.880994939886659</v>
      </c>
      <c r="O12" s="49">
        <f>(combined!T11-combined!T$5)/(MAX(combined!T$6:T$22)-combined!T$5)</f>
        <v>0.73360687282282022</v>
      </c>
    </row>
    <row r="13" spans="1:15" x14ac:dyDescent="0.3">
      <c r="A13" s="50">
        <f t="shared" si="4"/>
        <v>6</v>
      </c>
      <c r="B13" s="50">
        <v>0.65272329330866186</v>
      </c>
      <c r="C13" s="50">
        <v>6</v>
      </c>
      <c r="D13" s="51">
        <f>AVERAGE(B25:B27)</f>
        <v>0.80993158429740075</v>
      </c>
      <c r="E13">
        <f t="shared" si="2"/>
        <v>6</v>
      </c>
      <c r="F13" s="49">
        <f t="shared" si="0"/>
        <v>0.81804491717334127</v>
      </c>
      <c r="G13" s="49">
        <f>(combined!B12-combined!B$5)/(MAX(combined!B$6:B$22)-combined!B$5)</f>
        <v>0.91304347826086985</v>
      </c>
      <c r="H13" s="49">
        <f>(combined!I12-combined!I$5)/(MAX(combined!I$6:I$22)-combined!I$5)</f>
        <v>0.81818181818181845</v>
      </c>
      <c r="I13" s="49">
        <f>(combined!P12-combined!P$5)/(MAX(combined!P$6:P$22)-combined!P$5)</f>
        <v>0.88461538461538469</v>
      </c>
      <c r="K13">
        <f t="shared" si="3"/>
        <v>6</v>
      </c>
      <c r="L13" s="49">
        <f t="shared" si="1"/>
        <v>0.81804491717334127</v>
      </c>
      <c r="M13" s="49">
        <f>(combined!F12-combined!F$5)/(MAX(combined!F$6:F$22)-combined!F$5)</f>
        <v>0.79861973580545864</v>
      </c>
      <c r="N13" s="49">
        <f>(combined!M12-combined!M$5)/(MAX(combined!M$6:M$22)-combined!M$5)</f>
        <v>0.73414563241816966</v>
      </c>
      <c r="O13" s="49">
        <f>(combined!T12-combined!T$5)/(MAX(combined!T$6:T$22)-combined!T$5)</f>
        <v>0.93476494075681349</v>
      </c>
    </row>
    <row r="14" spans="1:15" x14ac:dyDescent="0.3">
      <c r="A14" s="50">
        <f t="shared" si="4"/>
        <v>7</v>
      </c>
      <c r="B14" s="50">
        <v>0.70431789434943037</v>
      </c>
      <c r="C14" s="50">
        <v>7</v>
      </c>
      <c r="D14" s="51">
        <f>AVERAGE(B28:B30)</f>
        <v>0.63879728060045382</v>
      </c>
      <c r="E14">
        <f t="shared" si="2"/>
        <v>7</v>
      </c>
      <c r="F14" s="49">
        <f t="shared" si="0"/>
        <v>0.64519630871373956</v>
      </c>
      <c r="G14" s="49">
        <f>(combined!B13-combined!B$5)/(MAX(combined!B$6:B$22)-combined!B$5)</f>
        <v>1</v>
      </c>
      <c r="H14" s="49">
        <f>(combined!I13-combined!I$5)/(MAX(combined!I$6:I$22)-combined!I$5)</f>
        <v>0.90909090909090939</v>
      </c>
      <c r="I14" s="49">
        <f>(combined!P13-combined!P$5)/(MAX(combined!P$6:P$22)-combined!P$5)</f>
        <v>0.94230769230769218</v>
      </c>
      <c r="K14">
        <f t="shared" si="3"/>
        <v>7</v>
      </c>
      <c r="L14" s="49">
        <f t="shared" si="1"/>
        <v>0.64519630871373956</v>
      </c>
      <c r="M14" s="49">
        <f>(combined!F13-combined!F$5)/(MAX(combined!F$6:F$22)-combined!F$5)</f>
        <v>1</v>
      </c>
      <c r="N14" s="49">
        <f>(combined!M13-combined!M$5)/(MAX(combined!M$6:M$22)-combined!M$5)</f>
        <v>0.84982185987229775</v>
      </c>
      <c r="O14" s="49">
        <f>(combined!T13-combined!T$5)/(MAX(combined!T$6:T$22)-combined!T$5)</f>
        <v>0.99721233482939398</v>
      </c>
    </row>
    <row r="15" spans="1:15" x14ac:dyDescent="0.3">
      <c r="A15" s="50">
        <f t="shared" si="4"/>
        <v>8</v>
      </c>
      <c r="B15" s="50">
        <v>0.8172871807534835</v>
      </c>
      <c r="C15" s="50">
        <v>8</v>
      </c>
      <c r="D15" s="51">
        <f>AVERAGE(B31:B33)</f>
        <v>0.56531559414588983</v>
      </c>
      <c r="E15">
        <f t="shared" si="2"/>
        <v>8</v>
      </c>
      <c r="F15" s="49">
        <f t="shared" si="0"/>
        <v>0.57097853368817786</v>
      </c>
      <c r="G15" s="49">
        <f>(combined!B14-combined!B$5)/(MAX(combined!B$6:B$22)-combined!B$5)</f>
        <v>1</v>
      </c>
      <c r="H15" s="49">
        <f>(combined!I14-combined!I$5)/(MAX(combined!I$6:I$22)-combined!I$5)</f>
        <v>0.90909090909090939</v>
      </c>
      <c r="I15" s="49">
        <f>(combined!P14-combined!P$5)/(MAX(combined!P$6:P$22)-combined!P$5)</f>
        <v>1</v>
      </c>
      <c r="K15">
        <f t="shared" si="3"/>
        <v>8</v>
      </c>
      <c r="L15" s="49">
        <f t="shared" si="1"/>
        <v>0.57097853368817786</v>
      </c>
      <c r="M15" s="49">
        <f>(combined!F14-combined!F$5)/(MAX(combined!F$6:F$22)-combined!F$5)</f>
        <v>0.94249975297475597</v>
      </c>
      <c r="N15" s="49">
        <f>(combined!M14-combined!M$5)/(MAX(combined!M$6:M$22)-combined!M$5)</f>
        <v>0.78240659967429005</v>
      </c>
      <c r="O15" s="49">
        <f>(combined!T14-combined!T$5)/(MAX(combined!T$6:T$22)-combined!T$5)</f>
        <v>0.98733941580850948</v>
      </c>
    </row>
    <row r="16" spans="1:15" x14ac:dyDescent="0.3">
      <c r="A16" s="50">
        <f t="shared" si="4"/>
        <v>9</v>
      </c>
      <c r="B16" s="50">
        <v>0.86062934030250215</v>
      </c>
      <c r="C16" s="50">
        <v>9</v>
      </c>
      <c r="D16" s="51">
        <f>AVERAGE(B34:B36)</f>
        <v>0.47288466408669955</v>
      </c>
      <c r="E16">
        <f t="shared" si="2"/>
        <v>9</v>
      </c>
      <c r="F16" s="49">
        <f t="shared" si="0"/>
        <v>0.4776216946779821</v>
      </c>
      <c r="G16" s="49">
        <f>(combined!B15-combined!B$5)/(MAX(combined!B$6:B$22)-combined!B$5)</f>
        <v>0.91304347826086985</v>
      </c>
      <c r="H16" s="49">
        <f>(combined!I15-combined!I$5)/(MAX(combined!I$6:I$22)-combined!I$5)</f>
        <v>1</v>
      </c>
      <c r="I16" s="49">
        <f>(combined!P15-combined!P$5)/(MAX(combined!P$6:P$22)-combined!P$5)</f>
        <v>0.98076923076923084</v>
      </c>
      <c r="K16">
        <f t="shared" si="3"/>
        <v>9</v>
      </c>
      <c r="L16" s="49">
        <f t="shared" si="1"/>
        <v>0.4776216946779821</v>
      </c>
      <c r="M16" s="49">
        <f>(combined!F15-combined!F$5)/(MAX(combined!F$6:F$22)-combined!F$5)</f>
        <v>0.83204274556481195</v>
      </c>
      <c r="N16" s="49">
        <f>(combined!M15-combined!M$5)/(MAX(combined!M$6:M$22)-combined!M$5)</f>
        <v>0.94227775395326729</v>
      </c>
      <c r="O16" s="49">
        <f>(combined!T15-combined!T$5)/(MAX(combined!T$6:T$22)-combined!T$5)</f>
        <v>1</v>
      </c>
    </row>
    <row r="17" spans="1:15" x14ac:dyDescent="0.3">
      <c r="A17" s="50">
        <f t="shared" si="4"/>
        <v>10</v>
      </c>
      <c r="B17" s="50">
        <v>0.89980862360322122</v>
      </c>
      <c r="C17" s="50">
        <v>10</v>
      </c>
      <c r="D17" s="51">
        <f>AVERAGE(B37:B39)</f>
        <v>0.39338966683352311</v>
      </c>
      <c r="E17">
        <f t="shared" si="2"/>
        <v>10</v>
      </c>
      <c r="F17" s="49">
        <f t="shared" si="0"/>
        <v>0.39733037167681484</v>
      </c>
      <c r="G17" s="49">
        <f>(combined!B16-combined!B$5)/(MAX(combined!B$6:B$22)-combined!B$5)</f>
        <v>0.78260869565217395</v>
      </c>
      <c r="H17" s="49">
        <f>(combined!I16-combined!I$5)/(MAX(combined!I$6:I$22)-combined!I$5)</f>
        <v>1</v>
      </c>
      <c r="I17" s="49">
        <f>(combined!P16-combined!P$5)/(MAX(combined!P$6:P$22)-combined!P$5)</f>
        <v>0.94230769230769218</v>
      </c>
      <c r="K17">
        <f t="shared" si="3"/>
        <v>10</v>
      </c>
      <c r="L17" s="49">
        <f t="shared" si="1"/>
        <v>0.39733037167681484</v>
      </c>
      <c r="M17" s="49">
        <f>(combined!F16-combined!F$5)/(MAX(combined!F$6:F$22)-combined!F$5)</f>
        <v>0.58821094821669584</v>
      </c>
      <c r="N17" s="49">
        <f>(combined!M16-combined!M$5)/(MAX(combined!M$6:M$22)-combined!M$5)</f>
        <v>1</v>
      </c>
      <c r="O17" s="49">
        <f>(combined!T16-combined!T$5)/(MAX(combined!T$6:T$22)-combined!T$5)</f>
        <v>0.9314361789346699</v>
      </c>
    </row>
    <row r="18" spans="1:15" x14ac:dyDescent="0.3">
      <c r="A18" s="50">
        <f t="shared" si="4"/>
        <v>11</v>
      </c>
      <c r="B18" s="50">
        <v>0.95402211168882056</v>
      </c>
      <c r="C18" s="50">
        <v>11</v>
      </c>
      <c r="D18" s="51">
        <f>AVERAGE(B40:B42)</f>
        <v>0.41136720153153955</v>
      </c>
      <c r="E18">
        <f t="shared" si="2"/>
        <v>11</v>
      </c>
      <c r="F18" s="49">
        <f t="shared" si="0"/>
        <v>0.41548799284895038</v>
      </c>
      <c r="G18" s="49">
        <f>(combined!B17-combined!B$5)/(MAX(combined!B$6:B$22)-combined!B$5)</f>
        <v>0.78260869565217395</v>
      </c>
      <c r="H18" s="49">
        <f>(combined!I17-combined!I$5)/(MAX(combined!I$6:I$22)-combined!I$5)</f>
        <v>0.86363636363636365</v>
      </c>
      <c r="I18" s="49">
        <f>(combined!P17-combined!P$5)/(MAX(combined!P$6:P$22)-combined!P$5)</f>
        <v>0.92307692307692302</v>
      </c>
      <c r="K18">
        <f t="shared" si="3"/>
        <v>11</v>
      </c>
      <c r="L18" s="49">
        <f t="shared" si="1"/>
        <v>0.41548799284895038</v>
      </c>
      <c r="M18" s="49">
        <f>(combined!F17-combined!F$5)/(MAX(combined!F$6:F$22)-combined!F$5)</f>
        <v>0.47932709923417799</v>
      </c>
      <c r="N18" s="49">
        <f>(combined!M17-combined!M$5)/(MAX(combined!M$6:M$22)-combined!M$5)</f>
        <v>0.84722991097504374</v>
      </c>
      <c r="O18" s="49">
        <f>(combined!T17-combined!T$5)/(MAX(combined!T$6:T$22)-combined!T$5)</f>
        <v>0.88713601865743885</v>
      </c>
    </row>
    <row r="19" spans="1:15" x14ac:dyDescent="0.3">
      <c r="A19" s="50">
        <f t="shared" si="4"/>
        <v>12</v>
      </c>
      <c r="B19" s="50">
        <v>0.97943527245069029</v>
      </c>
      <c r="C19" s="50">
        <v>12</v>
      </c>
      <c r="D19" s="51">
        <f>AVERAGE(B43:B45)</f>
        <v>0.36833144015368674</v>
      </c>
      <c r="E19">
        <f t="shared" si="2"/>
        <v>12</v>
      </c>
      <c r="F19" s="49">
        <f t="shared" si="0"/>
        <v>0.37202112906146506</v>
      </c>
      <c r="G19" s="49">
        <f>(combined!B18-combined!B$5)/(MAX(combined!B$6:B$22)-combined!B$5)</f>
        <v>0.65217391304347827</v>
      </c>
      <c r="H19" s="49">
        <f>(combined!I18-combined!I$5)/(MAX(combined!I$6:I$22)-combined!I$5)</f>
        <v>0.81818181818181845</v>
      </c>
      <c r="I19" s="49">
        <f>(combined!P18-combined!P$5)/(MAX(combined!P$6:P$22)-combined!P$5)</f>
        <v>0.92307692307692302</v>
      </c>
      <c r="K19">
        <f t="shared" si="3"/>
        <v>12</v>
      </c>
      <c r="L19" s="49">
        <f t="shared" si="1"/>
        <v>0.37202112906146506</v>
      </c>
      <c r="M19" s="49">
        <f>(combined!F18-combined!F$5)/(MAX(combined!F$6:F$22)-combined!F$5)</f>
        <v>0.22512796768588028</v>
      </c>
      <c r="N19" s="49">
        <f>(combined!M18-combined!M$5)/(MAX(combined!M$6:M$22)-combined!M$5)</f>
        <v>0.77901691076825796</v>
      </c>
      <c r="O19" s="49">
        <f>(combined!T18-combined!T$5)/(MAX(combined!T$6:T$22)-combined!T$5)</f>
        <v>0.79883824885230958</v>
      </c>
    </row>
    <row r="20" spans="1:15" x14ac:dyDescent="0.3">
      <c r="A20" s="50">
        <f t="shared" si="4"/>
        <v>13</v>
      </c>
      <c r="B20" s="50">
        <v>0.99081086181791977</v>
      </c>
      <c r="C20" s="50">
        <v>13</v>
      </c>
      <c r="D20" s="51">
        <f>AVERAGE(B46:B48)</f>
        <v>0.29636612154265624</v>
      </c>
      <c r="E20">
        <f t="shared" si="2"/>
        <v>13</v>
      </c>
      <c r="F20" s="49">
        <f t="shared" si="0"/>
        <v>0.29933491180080241</v>
      </c>
      <c r="G20" s="49">
        <f>(combined!B19-combined!B$5)/(MAX(combined!B$6:B$22)-combined!B$5)</f>
        <v>0.56521739130434778</v>
      </c>
      <c r="H20" s="49">
        <f>(combined!I19-combined!I$5)/(MAX(combined!I$6:I$22)-combined!I$5)</f>
        <v>0.77272727272727271</v>
      </c>
      <c r="I20" s="49">
        <f>(combined!P19-combined!P$5)/(MAX(combined!P$6:P$22)-combined!P$5)</f>
        <v>0.82692307692307687</v>
      </c>
      <c r="K20">
        <f t="shared" si="3"/>
        <v>13</v>
      </c>
      <c r="L20" s="49">
        <f t="shared" si="1"/>
        <v>0.29933491180080241</v>
      </c>
      <c r="M20" s="49">
        <f>(combined!F19-combined!F$5)/(MAX(combined!F$6:F$22)-combined!F$5)</f>
        <v>8.241117862820535E-2</v>
      </c>
      <c r="N20" s="49">
        <f>(combined!M19-combined!M$5)/(MAX(combined!M$6:M$22)-combined!M$5)</f>
        <v>0.7469631830675848</v>
      </c>
      <c r="O20" s="49">
        <f>(combined!T19-combined!T$5)/(MAX(combined!T$6:T$22)-combined!T$5)</f>
        <v>0.63990237993519528</v>
      </c>
    </row>
    <row r="21" spans="1:15" x14ac:dyDescent="0.3">
      <c r="A21" s="50">
        <f t="shared" si="4"/>
        <v>14</v>
      </c>
      <c r="B21" s="50">
        <v>1</v>
      </c>
      <c r="C21" s="50">
        <v>14</v>
      </c>
      <c r="D21" s="51">
        <f>AVERAGE(B49:B51)</f>
        <v>0.2691508970264655</v>
      </c>
      <c r="E21">
        <f t="shared" si="2"/>
        <v>14</v>
      </c>
      <c r="F21" s="49">
        <f t="shared" si="0"/>
        <v>0.27184706404077946</v>
      </c>
      <c r="G21" s="49">
        <f>(combined!B20-combined!B$5)/(MAX(combined!B$6:B$22)-combined!B$5)</f>
        <v>0.56521739130434778</v>
      </c>
      <c r="H21" s="49">
        <f>(combined!I20-combined!I$5)/(MAX(combined!I$6:I$22)-combined!I$5)</f>
        <v>0.6818181818181821</v>
      </c>
      <c r="I21" s="49">
        <f>(combined!P20-combined!P$5)/(MAX(combined!P$6:P$22)-combined!P$5)</f>
        <v>0.82692307692307687</v>
      </c>
      <c r="K21">
        <f t="shared" si="3"/>
        <v>14</v>
      </c>
      <c r="L21" s="49">
        <f t="shared" si="1"/>
        <v>0.27184706404077946</v>
      </c>
      <c r="M21" s="49">
        <f>(combined!F20-combined!F$5)/(MAX(combined!F$6:F$22)-combined!F$5)</f>
        <v>2.3484869202342617E-2</v>
      </c>
      <c r="N21" s="49">
        <f>(combined!M20-combined!M$5)/(MAX(combined!M$6:M$22)-combined!M$5)</f>
        <v>0.65413634572218027</v>
      </c>
      <c r="O21" s="49">
        <f>(combined!T20-combined!T$5)/(MAX(combined!T$6:T$22)-combined!T$5)</f>
        <v>0.62135767261953578</v>
      </c>
    </row>
    <row r="22" spans="1:15" x14ac:dyDescent="0.3">
      <c r="A22" s="50">
        <f t="shared" si="4"/>
        <v>15</v>
      </c>
      <c r="B22" s="50">
        <v>0.9682355304261725</v>
      </c>
      <c r="C22" s="50">
        <v>15</v>
      </c>
      <c r="D22" s="51">
        <f>AVERAGE(B52:B54)</f>
        <v>0.23718963253601835</v>
      </c>
      <c r="E22">
        <f t="shared" si="2"/>
        <v>15</v>
      </c>
      <c r="F22" s="49">
        <f t="shared" si="0"/>
        <v>0.239565633769698</v>
      </c>
      <c r="G22" s="49">
        <f>(combined!B21-combined!B$5)/(MAX(combined!B$6:B$22)-combined!B$5)</f>
        <v>0.39130434782608714</v>
      </c>
      <c r="H22" s="49">
        <f>(combined!I21-combined!I$5)/(MAX(combined!I$6:I$22)-combined!I$5)</f>
        <v>0.6818181818181821</v>
      </c>
      <c r="I22" s="49">
        <f>(combined!P21-combined!P$5)/(MAX(combined!P$6:P$22)-combined!P$5)</f>
        <v>0.82692307692307687</v>
      </c>
      <c r="K22">
        <f t="shared" si="3"/>
        <v>15</v>
      </c>
      <c r="L22" s="49">
        <f t="shared" si="1"/>
        <v>0.239565633769698</v>
      </c>
      <c r="M22" s="49">
        <f>(combined!F21-combined!F$5)/(MAX(combined!F$6:F$22)-combined!F$5)</f>
        <v>-0.38427669275358267</v>
      </c>
      <c r="N22" s="49">
        <f>(combined!M21-combined!M$5)/(MAX(combined!M$6:M$22)-combined!M$5)</f>
        <v>0.56438378980087744</v>
      </c>
      <c r="O22" s="49">
        <f>(combined!T21-combined!T$5)/(MAX(combined!T$6:T$22)-combined!T$5)</f>
        <v>0.52852731089710436</v>
      </c>
    </row>
    <row r="23" spans="1:15" x14ac:dyDescent="0.3">
      <c r="A23" s="50">
        <f t="shared" si="4"/>
        <v>16</v>
      </c>
      <c r="B23" s="50">
        <v>0.96714899198606685</v>
      </c>
      <c r="C23" s="50">
        <v>16</v>
      </c>
      <c r="D23" s="51">
        <f>AVERAGE(B55:B57)</f>
        <v>3.9258505418120739E-2</v>
      </c>
      <c r="E23">
        <f t="shared" si="2"/>
        <v>16</v>
      </c>
      <c r="F23" s="49">
        <f t="shared" si="0"/>
        <v>3.9651769897299481E-2</v>
      </c>
      <c r="G23" s="49">
        <f>(combined!B22-combined!B$5)/(MAX(combined!B$6:B$22)-combined!B$5)</f>
        <v>0.3043478260869566</v>
      </c>
      <c r="H23" s="49">
        <f>(combined!I22-combined!I$5)/(MAX(combined!I$6:I$22)-combined!I$5)</f>
        <v>0.63636363636363635</v>
      </c>
      <c r="I23" s="49">
        <f>(combined!P22-combined!P$5)/(MAX(combined!P$6:P$22)-combined!P$5)</f>
        <v>0.76923076923076905</v>
      </c>
      <c r="K23">
        <f t="shared" si="3"/>
        <v>16</v>
      </c>
      <c r="L23" s="49">
        <f t="shared" si="1"/>
        <v>3.9651769897299481E-2</v>
      </c>
      <c r="M23" s="49">
        <f>(combined!F22-combined!F$5)/(MAX(combined!F$6:F$22)-combined!F$5)</f>
        <v>-0.48577729886493554</v>
      </c>
      <c r="N23" s="49">
        <f>(combined!M22-combined!M$5)/(MAX(combined!M$6:M$22)-combined!M$5)</f>
        <v>0.44621821603388262</v>
      </c>
      <c r="O23" s="49">
        <f>(combined!T22-combined!T$5)/(MAX(combined!T$6:T$22)-combined!T$5)</f>
        <v>0.46748472374517613</v>
      </c>
    </row>
    <row r="24" spans="1:15" x14ac:dyDescent="0.3">
      <c r="A24" s="50">
        <f t="shared" si="4"/>
        <v>17</v>
      </c>
      <c r="B24" s="50">
        <v>0.94306855594409844</v>
      </c>
      <c r="D24" s="51">
        <f>AVERAGE(B58:B60)</f>
        <v>-7.8735523862856024E-2</v>
      </c>
    </row>
    <row r="25" spans="1:15" x14ac:dyDescent="0.3">
      <c r="A25" s="50">
        <f t="shared" si="4"/>
        <v>18</v>
      </c>
      <c r="B25" s="50">
        <v>0.87729666094201597</v>
      </c>
      <c r="D25" s="51">
        <f>AVERAGE(B61:B63)</f>
        <v>-0.10570406675462345</v>
      </c>
    </row>
    <row r="26" spans="1:15" x14ac:dyDescent="0.3">
      <c r="A26" s="50">
        <f t="shared" si="4"/>
        <v>19</v>
      </c>
      <c r="B26" s="50">
        <v>0.80575757458890551</v>
      </c>
      <c r="D26" s="51">
        <f>AVERAGE(B64:B66)</f>
        <v>-8.8047012167893166E-2</v>
      </c>
    </row>
    <row r="27" spans="1:15" x14ac:dyDescent="0.3">
      <c r="A27" s="50">
        <f t="shared" si="4"/>
        <v>20</v>
      </c>
      <c r="B27" s="50">
        <v>0.74674051736128078</v>
      </c>
    </row>
    <row r="28" spans="1:15" x14ac:dyDescent="0.3">
      <c r="A28" s="50">
        <f t="shared" si="4"/>
        <v>21</v>
      </c>
      <c r="B28" s="50">
        <v>0.68545336647000177</v>
      </c>
    </row>
    <row r="29" spans="1:15" x14ac:dyDescent="0.3">
      <c r="A29" s="50">
        <f t="shared" si="4"/>
        <v>22</v>
      </c>
      <c r="B29" s="50">
        <v>0.60760953369990478</v>
      </c>
    </row>
    <row r="30" spans="1:15" x14ac:dyDescent="0.3">
      <c r="A30" s="50">
        <f t="shared" si="4"/>
        <v>23</v>
      </c>
      <c r="B30" s="50">
        <v>0.62332894163145502</v>
      </c>
    </row>
    <row r="31" spans="1:15" x14ac:dyDescent="0.3">
      <c r="A31" s="50">
        <f t="shared" si="4"/>
        <v>24</v>
      </c>
      <c r="B31" s="50">
        <v>0.57822682262144087</v>
      </c>
    </row>
    <row r="32" spans="1:15" x14ac:dyDescent="0.3">
      <c r="A32" s="50">
        <f t="shared" si="4"/>
        <v>25</v>
      </c>
      <c r="B32" s="50">
        <v>0.58552763632052207</v>
      </c>
    </row>
    <row r="33" spans="1:2" customFormat="1" x14ac:dyDescent="0.3">
      <c r="A33" s="50">
        <f t="shared" si="4"/>
        <v>26</v>
      </c>
      <c r="B33" s="50">
        <v>0.53219232349570644</v>
      </c>
    </row>
    <row r="34" spans="1:2" customFormat="1" x14ac:dyDescent="0.3">
      <c r="A34" s="50">
        <f t="shared" si="4"/>
        <v>27</v>
      </c>
      <c r="B34" s="50">
        <v>0.50226331805678703</v>
      </c>
    </row>
    <row r="35" spans="1:2" customFormat="1" x14ac:dyDescent="0.3">
      <c r="A35" s="50">
        <f t="shared" si="4"/>
        <v>28</v>
      </c>
      <c r="B35" s="50">
        <v>0.47539978822601908</v>
      </c>
    </row>
    <row r="36" spans="1:2" customFormat="1" x14ac:dyDescent="0.3">
      <c r="A36" s="50">
        <f t="shared" si="4"/>
        <v>29</v>
      </c>
      <c r="B36" s="50">
        <v>0.44099088597729258</v>
      </c>
    </row>
    <row r="37" spans="1:2" customFormat="1" x14ac:dyDescent="0.3">
      <c r="A37" s="50">
        <f t="shared" si="4"/>
        <v>30</v>
      </c>
      <c r="B37" s="50">
        <v>0.35822332761127734</v>
      </c>
    </row>
    <row r="38" spans="1:2" customFormat="1" x14ac:dyDescent="0.3">
      <c r="A38" s="50">
        <f t="shared" si="4"/>
        <v>31</v>
      </c>
      <c r="B38" s="50">
        <v>0.4144953264411318</v>
      </c>
    </row>
    <row r="39" spans="1:2" customFormat="1" x14ac:dyDescent="0.3">
      <c r="A39" s="50">
        <f t="shared" si="4"/>
        <v>32</v>
      </c>
      <c r="B39" s="50">
        <v>0.40745034644816019</v>
      </c>
    </row>
    <row r="40" spans="1:2" customFormat="1" x14ac:dyDescent="0.3">
      <c r="A40" s="50">
        <f t="shared" si="4"/>
        <v>33</v>
      </c>
      <c r="B40" s="50">
        <v>0.4061003672237396</v>
      </c>
    </row>
    <row r="41" spans="1:2" customFormat="1" x14ac:dyDescent="0.3">
      <c r="A41" s="50">
        <f t="shared" si="4"/>
        <v>34</v>
      </c>
      <c r="B41" s="50">
        <v>0.43658684765898886</v>
      </c>
    </row>
    <row r="42" spans="1:2" customFormat="1" x14ac:dyDescent="0.3">
      <c r="A42" s="50">
        <f t="shared" si="4"/>
        <v>35</v>
      </c>
      <c r="B42" s="50">
        <v>0.39141438971189019</v>
      </c>
    </row>
    <row r="43" spans="1:2" customFormat="1" x14ac:dyDescent="0.3">
      <c r="A43" s="50">
        <f t="shared" si="4"/>
        <v>36</v>
      </c>
      <c r="B43" s="50">
        <v>0.41224198014345015</v>
      </c>
    </row>
    <row r="44" spans="1:2" customFormat="1" x14ac:dyDescent="0.3">
      <c r="A44" s="50">
        <f t="shared" si="4"/>
        <v>37</v>
      </c>
      <c r="B44" s="50">
        <v>0.37657419490605759</v>
      </c>
    </row>
    <row r="45" spans="1:2" customFormat="1" x14ac:dyDescent="0.3">
      <c r="A45" s="50">
        <f t="shared" si="4"/>
        <v>38</v>
      </c>
      <c r="B45" s="50">
        <v>0.31617814541155248</v>
      </c>
    </row>
    <row r="46" spans="1:2" customFormat="1" x14ac:dyDescent="0.3">
      <c r="A46" s="50">
        <f t="shared" si="4"/>
        <v>39</v>
      </c>
      <c r="B46" s="50">
        <v>0.31430871478791111</v>
      </c>
    </row>
    <row r="47" spans="1:2" customFormat="1" x14ac:dyDescent="0.3">
      <c r="A47" s="50">
        <f t="shared" si="4"/>
        <v>40</v>
      </c>
      <c r="B47" s="50">
        <v>0.28967753807776075</v>
      </c>
    </row>
    <row r="48" spans="1:2" customFormat="1" x14ac:dyDescent="0.3">
      <c r="A48" s="50">
        <f t="shared" si="4"/>
        <v>41</v>
      </c>
      <c r="B48" s="50">
        <v>0.28511211176229673</v>
      </c>
    </row>
    <row r="49" spans="1:2" customFormat="1" x14ac:dyDescent="0.3">
      <c r="A49" s="50">
        <f t="shared" si="4"/>
        <v>42</v>
      </c>
      <c r="B49" s="50">
        <v>0.28073326525647008</v>
      </c>
    </row>
    <row r="50" spans="1:2" customFormat="1" x14ac:dyDescent="0.3">
      <c r="A50" s="50">
        <f t="shared" si="4"/>
        <v>43</v>
      </c>
      <c r="B50" s="50">
        <v>0.28295934401180767</v>
      </c>
    </row>
    <row r="51" spans="1:2" customFormat="1" x14ac:dyDescent="0.3">
      <c r="A51" s="50">
        <f t="shared" si="4"/>
        <v>44</v>
      </c>
      <c r="B51" s="50">
        <v>0.24376008181111869</v>
      </c>
    </row>
    <row r="52" spans="1:2" customFormat="1" x14ac:dyDescent="0.3">
      <c r="A52" s="50">
        <f t="shared" si="4"/>
        <v>45</v>
      </c>
      <c r="B52" s="50">
        <v>0.28726091675576676</v>
      </c>
    </row>
    <row r="53" spans="1:2" customFormat="1" x14ac:dyDescent="0.3">
      <c r="A53" s="50">
        <f t="shared" si="4"/>
        <v>46</v>
      </c>
      <c r="B53" s="50">
        <v>0.2293617344128874</v>
      </c>
    </row>
    <row r="54" spans="1:2" customFormat="1" x14ac:dyDescent="0.3">
      <c r="A54" s="50">
        <f t="shared" si="4"/>
        <v>47</v>
      </c>
      <c r="B54" s="50">
        <v>0.19494624643940092</v>
      </c>
    </row>
    <row r="55" spans="1:2" customFormat="1" x14ac:dyDescent="0.3">
      <c r="A55" s="50">
        <f t="shared" si="4"/>
        <v>48</v>
      </c>
      <c r="B55" s="50">
        <v>0.16236247685192634</v>
      </c>
    </row>
    <row r="56" spans="1:2" customFormat="1" x14ac:dyDescent="0.3">
      <c r="A56" s="50">
        <f t="shared" si="4"/>
        <v>49</v>
      </c>
      <c r="B56" s="50">
        <v>-3.8443696529095558E-2</v>
      </c>
    </row>
    <row r="57" spans="1:2" customFormat="1" x14ac:dyDescent="0.3">
      <c r="A57" s="50">
        <f t="shared" si="4"/>
        <v>50</v>
      </c>
      <c r="B57" s="50">
        <v>-6.1432640684685562E-3</v>
      </c>
    </row>
    <row r="58" spans="1:2" customFormat="1" x14ac:dyDescent="0.3">
      <c r="A58" s="50">
        <f t="shared" si="4"/>
        <v>51</v>
      </c>
      <c r="B58" s="50">
        <v>-8.8265954493184515E-2</v>
      </c>
    </row>
    <row r="59" spans="1:2" customFormat="1" x14ac:dyDescent="0.3">
      <c r="A59" s="50">
        <f t="shared" si="4"/>
        <v>52</v>
      </c>
      <c r="B59" s="50">
        <v>-7.9611293164021338E-2</v>
      </c>
    </row>
    <row r="60" spans="1:2" customFormat="1" x14ac:dyDescent="0.3">
      <c r="A60" s="50">
        <f t="shared" si="4"/>
        <v>53</v>
      </c>
      <c r="B60" s="50">
        <v>-6.8329323931362221E-2</v>
      </c>
    </row>
    <row r="61" spans="1:2" customFormat="1" x14ac:dyDescent="0.3">
      <c r="A61" s="50">
        <f t="shared" si="4"/>
        <v>54</v>
      </c>
      <c r="B61" s="50">
        <v>-0.11726293363397461</v>
      </c>
    </row>
    <row r="62" spans="1:2" customFormat="1" x14ac:dyDescent="0.3">
      <c r="A62" s="50">
        <f t="shared" si="4"/>
        <v>55</v>
      </c>
      <c r="B62" s="50">
        <v>-0.13173244554366931</v>
      </c>
    </row>
    <row r="63" spans="1:2" customFormat="1" x14ac:dyDescent="0.3">
      <c r="A63" s="50">
        <f t="shared" si="4"/>
        <v>56</v>
      </c>
      <c r="B63" s="50">
        <v>-6.8116821086226437E-2</v>
      </c>
    </row>
    <row r="64" spans="1:2" customFormat="1" x14ac:dyDescent="0.3">
      <c r="A64" s="50">
        <f t="shared" si="4"/>
        <v>57</v>
      </c>
      <c r="B64" s="50">
        <v>-0.1086275907452782</v>
      </c>
    </row>
    <row r="65" spans="1:2" customFormat="1" x14ac:dyDescent="0.3">
      <c r="A65" s="50">
        <f t="shared" si="4"/>
        <v>58</v>
      </c>
      <c r="B65" s="50">
        <v>-4.2384658384339503E-2</v>
      </c>
    </row>
    <row r="66" spans="1:2" customFormat="1" x14ac:dyDescent="0.3">
      <c r="A66" s="50">
        <f t="shared" si="4"/>
        <v>59</v>
      </c>
      <c r="B66" s="50">
        <v>-0.11312878737406176</v>
      </c>
    </row>
  </sheetData>
  <mergeCells count="2">
    <mergeCell ref="F4:I4"/>
    <mergeCell ref="L4:O4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6"/>
  <sheetViews>
    <sheetView tabSelected="1" topLeftCell="L13" workbookViewId="0">
      <selection activeCell="AD15" sqref="AD15"/>
    </sheetView>
  </sheetViews>
  <sheetFormatPr defaultRowHeight="14.4" x14ac:dyDescent="0.3"/>
  <cols>
    <col min="1" max="5" width="9.109375" style="18"/>
    <col min="6" max="6" width="3" style="18" customWidth="1"/>
    <col min="7" max="10" width="9.109375" style="18"/>
    <col min="11" max="11" width="2.6640625" style="18" customWidth="1"/>
    <col min="12" max="15" width="9.109375" style="18"/>
    <col min="16" max="16" width="2" style="18" customWidth="1"/>
    <col min="17" max="20" width="9.109375" style="18"/>
  </cols>
  <sheetData>
    <row r="2" spans="1:21" x14ac:dyDescent="0.3">
      <c r="B2" s="56" t="s">
        <v>125</v>
      </c>
    </row>
    <row r="3" spans="1:21" x14ac:dyDescent="0.3">
      <c r="B3" s="66" t="s">
        <v>119</v>
      </c>
      <c r="C3" s="66"/>
      <c r="D3" s="66"/>
      <c r="E3" s="66"/>
      <c r="G3" s="66" t="s">
        <v>121</v>
      </c>
      <c r="H3" s="66"/>
      <c r="I3" s="66"/>
      <c r="J3" s="66"/>
      <c r="L3" s="66" t="s">
        <v>122</v>
      </c>
      <c r="M3" s="66"/>
      <c r="N3" s="66"/>
      <c r="O3" s="66"/>
      <c r="Q3" s="66" t="s">
        <v>123</v>
      </c>
      <c r="R3" s="66"/>
      <c r="S3" s="66"/>
      <c r="T3" s="66"/>
    </row>
    <row r="4" spans="1:21" x14ac:dyDescent="0.3">
      <c r="B4" s="18" t="s">
        <v>120</v>
      </c>
      <c r="C4" s="18">
        <v>1990</v>
      </c>
      <c r="D4" s="18">
        <v>2001</v>
      </c>
      <c r="E4" s="18">
        <v>2007</v>
      </c>
      <c r="G4" s="18" t="s">
        <v>120</v>
      </c>
      <c r="H4" s="18">
        <v>1990</v>
      </c>
      <c r="I4" s="18">
        <v>2001</v>
      </c>
      <c r="J4" s="18">
        <v>2007</v>
      </c>
      <c r="L4" s="18" t="s">
        <v>120</v>
      </c>
      <c r="M4" s="18">
        <v>1990</v>
      </c>
      <c r="N4" s="18">
        <v>2001</v>
      </c>
      <c r="O4" s="18">
        <v>2007</v>
      </c>
      <c r="Q4" s="18" t="s">
        <v>120</v>
      </c>
      <c r="R4" s="18">
        <v>1990</v>
      </c>
      <c r="S4" s="18">
        <v>2001</v>
      </c>
      <c r="T4" s="18">
        <v>2007</v>
      </c>
    </row>
    <row r="5" spans="1:21" x14ac:dyDescent="0.3">
      <c r="A5" s="18">
        <v>-1</v>
      </c>
      <c r="B5" s="18">
        <v>0</v>
      </c>
      <c r="C5" s="18">
        <v>-0.57000000000000028</v>
      </c>
      <c r="D5" s="18">
        <v>-1.1000000000000001</v>
      </c>
      <c r="E5" s="18">
        <v>-0.29999999999999982</v>
      </c>
      <c r="G5" s="18">
        <f>B5</f>
        <v>0</v>
      </c>
      <c r="H5" s="49">
        <f>C5</f>
        <v>-0.57000000000000028</v>
      </c>
      <c r="I5" s="49">
        <f t="shared" ref="I5:J5" si="0">D5</f>
        <v>-1.1000000000000001</v>
      </c>
      <c r="J5" s="49">
        <f t="shared" si="0"/>
        <v>-0.29999999999999982</v>
      </c>
      <c r="L5" s="49">
        <f>G5</f>
        <v>0</v>
      </c>
      <c r="M5" s="49">
        <f>(H5-H$5)/(MAX(H$5:H$22)-H$5)</f>
        <v>0</v>
      </c>
      <c r="N5" s="49">
        <f t="shared" ref="N5:O5" si="1">(I5-I$5)/(MAX(I$5:I$22)-I$5)</f>
        <v>0</v>
      </c>
      <c r="O5" s="49">
        <f t="shared" si="1"/>
        <v>0</v>
      </c>
      <c r="Q5" s="49">
        <f>B5</f>
        <v>0</v>
      </c>
      <c r="R5" s="49">
        <f>(C5-C$5)/(MAX(C$5:C$22)-C$5)</f>
        <v>0</v>
      </c>
      <c r="S5" s="49">
        <f t="shared" ref="S5:T5" si="2">(D5-D$5)/(MAX(D$5:D$22)-D$5)</f>
        <v>0</v>
      </c>
      <c r="T5" s="49">
        <f t="shared" si="2"/>
        <v>0</v>
      </c>
      <c r="U5">
        <v>0</v>
      </c>
    </row>
    <row r="6" spans="1:21" x14ac:dyDescent="0.3">
      <c r="A6" s="18">
        <v>0</v>
      </c>
      <c r="B6" s="18">
        <v>4.0848688901662177E-2</v>
      </c>
      <c r="C6" s="18">
        <v>-0.16000000000000014</v>
      </c>
      <c r="D6" s="18">
        <v>-0.79999999999999982</v>
      </c>
      <c r="E6" s="18">
        <v>-0.20999999999999996</v>
      </c>
      <c r="G6" s="18">
        <f>B6</f>
        <v>4.0848688901662177E-2</v>
      </c>
      <c r="H6" s="49">
        <f>C6-(combined!C6+combined!D6)</f>
        <v>-0.34740249557381619</v>
      </c>
      <c r="I6" s="49">
        <f>D6-(combined!J6+combined!K6)</f>
        <v>-0.89747867879436138</v>
      </c>
      <c r="J6" s="49">
        <f>E6-(combined!Q6+combined!R6)</f>
        <v>-0.24599814838838124</v>
      </c>
      <c r="L6" s="49">
        <f t="shared" ref="L6:L22" si="3">G6</f>
        <v>4.0848688901662177E-2</v>
      </c>
      <c r="M6" s="49">
        <f t="shared" ref="M6:M22" si="4">(H6-H$5)/(MAX(H$5:H$22)-H$5)</f>
        <v>0.10742840357132136</v>
      </c>
      <c r="N6" s="49">
        <f t="shared" ref="N6:N22" si="5">(I6-I$5)/(MAX(I$5:I$22)-I$5)</f>
        <v>6.6831826595575364E-2</v>
      </c>
      <c r="O6" s="49">
        <f t="shared" ref="O6:O22" si="6">(J6-J$5)/(MAX(J$5:J$22)-J$5)</f>
        <v>9.1515746997654478E-3</v>
      </c>
      <c r="Q6" s="49">
        <f t="shared" ref="Q6:Q22" si="7">B6</f>
        <v>4.0848688901662177E-2</v>
      </c>
      <c r="R6" s="49">
        <f t="shared" ref="R6:R22" si="8">(C6-C$5)/(MAX(C$5:C$22)-C$5)</f>
        <v>0.16205533596837948</v>
      </c>
      <c r="S6" s="49">
        <f t="shared" ref="S6:S22" si="9">(D6-D$5)/(MAX(D$5:D$22)-D$5)</f>
        <v>0.13636363636363649</v>
      </c>
      <c r="T6" s="49">
        <f t="shared" ref="T6:T22" si="10">(E6-E$5)/(MAX(E$5:E$22)-E$5)</f>
        <v>1.8367346938775481E-2</v>
      </c>
      <c r="U6">
        <v>0</v>
      </c>
    </row>
    <row r="7" spans="1:21" x14ac:dyDescent="0.3">
      <c r="A7" s="18">
        <f>A6+1</f>
        <v>1</v>
      </c>
      <c r="B7" s="18">
        <v>0.34221124980516859</v>
      </c>
      <c r="C7" s="18">
        <v>0.25999999999999979</v>
      </c>
      <c r="D7" s="18">
        <v>-0.59999999999999964</v>
      </c>
      <c r="E7" s="18">
        <v>-3.0000000000000249E-2</v>
      </c>
      <c r="G7" s="18">
        <f t="shared" ref="G7:G22" si="11">B7</f>
        <v>0.34221124980516859</v>
      </c>
      <c r="H7" s="49">
        <f>C7-(combined!C7+combined!D7)</f>
        <v>-2.397834751697614E-2</v>
      </c>
      <c r="I7" s="49">
        <f>D7-(combined!J7+combined!K7)</f>
        <v>-0.5793864248808841</v>
      </c>
      <c r="J7" s="49">
        <f>E7-(combined!Q7+combined!R7)</f>
        <v>9.4583188063960336E-2</v>
      </c>
      <c r="L7" s="49">
        <f t="shared" si="3"/>
        <v>0.34221124980516859</v>
      </c>
      <c r="M7" s="49">
        <f t="shared" si="4"/>
        <v>0.26351703534519116</v>
      </c>
      <c r="N7" s="49">
        <f t="shared" si="5"/>
        <v>0.17180194148710981</v>
      </c>
      <c r="O7" s="49">
        <f t="shared" si="6"/>
        <v>6.6869142688100069E-2</v>
      </c>
      <c r="Q7" s="49">
        <f t="shared" si="7"/>
        <v>0.34221124980516859</v>
      </c>
      <c r="R7" s="49">
        <f t="shared" si="8"/>
        <v>0.32806324110671936</v>
      </c>
      <c r="S7" s="49">
        <f t="shared" si="9"/>
        <v>0.22727272727272751</v>
      </c>
      <c r="T7" s="49">
        <f t="shared" si="10"/>
        <v>5.5102040816326442E-2</v>
      </c>
      <c r="U7">
        <v>0</v>
      </c>
    </row>
    <row r="8" spans="1:21" x14ac:dyDescent="0.3">
      <c r="A8" s="18">
        <f t="shared" ref="A8:A22" si="12">A7+1</f>
        <v>2</v>
      </c>
      <c r="B8" s="18">
        <v>0.68705348701231395</v>
      </c>
      <c r="C8" s="18">
        <v>0.77999999999999936</v>
      </c>
      <c r="D8" s="18">
        <v>-0.20000000000000018</v>
      </c>
      <c r="E8" s="18">
        <v>0.25</v>
      </c>
      <c r="G8" s="18">
        <f t="shared" si="11"/>
        <v>0.68705348701231395</v>
      </c>
      <c r="H8" s="49">
        <f>C8-(combined!C8+combined!D8)</f>
        <v>5.8358316575465197E-2</v>
      </c>
      <c r="I8" s="49">
        <f>D8-(combined!J8+combined!K8)</f>
        <v>0.38162787051778824</v>
      </c>
      <c r="J8" s="49">
        <f>E8-(combined!Q8+combined!R8)</f>
        <v>1.2310104877461621</v>
      </c>
      <c r="L8" s="49">
        <f t="shared" si="3"/>
        <v>0.68705348701231395</v>
      </c>
      <c r="M8" s="49">
        <f t="shared" si="4"/>
        <v>0.30325376285990735</v>
      </c>
      <c r="N8" s="49">
        <f t="shared" si="5"/>
        <v>0.48893566530248106</v>
      </c>
      <c r="O8" s="49">
        <f t="shared" si="6"/>
        <v>0.25945697094798897</v>
      </c>
      <c r="Q8" s="49">
        <f t="shared" si="7"/>
        <v>0.68705348701231395</v>
      </c>
      <c r="R8" s="49">
        <f t="shared" si="8"/>
        <v>0.53359683794466384</v>
      </c>
      <c r="S8" s="49">
        <f t="shared" si="9"/>
        <v>0.40909090909090912</v>
      </c>
      <c r="T8" s="49">
        <f t="shared" si="10"/>
        <v>0.11224489795918363</v>
      </c>
      <c r="U8">
        <v>0</v>
      </c>
    </row>
    <row r="9" spans="1:21" x14ac:dyDescent="0.3">
      <c r="A9" s="18">
        <f t="shared" si="12"/>
        <v>3</v>
      </c>
      <c r="B9" s="18">
        <v>0.87187485782520735</v>
      </c>
      <c r="C9" s="18">
        <v>1.0099999999999998</v>
      </c>
      <c r="D9" s="18">
        <v>0.5</v>
      </c>
      <c r="E9" s="18">
        <v>0.91999999999999993</v>
      </c>
      <c r="G9" s="18">
        <f t="shared" si="11"/>
        <v>0.87187485782520735</v>
      </c>
      <c r="H9" s="49">
        <f>C9-(combined!C9+combined!D9)</f>
        <v>0.59891900284022292</v>
      </c>
      <c r="I9" s="49">
        <f>D9-(combined!J9+combined!K9)</f>
        <v>0.62471481280889285</v>
      </c>
      <c r="J9" s="49">
        <f>E9-(combined!Q9+combined!R9)</f>
        <v>1.4490663661735201</v>
      </c>
      <c r="L9" s="49">
        <f t="shared" si="3"/>
        <v>0.87187485782520735</v>
      </c>
      <c r="M9" s="49">
        <f t="shared" si="4"/>
        <v>0.56413526604000264</v>
      </c>
      <c r="N9" s="49">
        <f t="shared" si="5"/>
        <v>0.56915410491236151</v>
      </c>
      <c r="O9" s="49">
        <f t="shared" si="6"/>
        <v>0.29641041977605831</v>
      </c>
      <c r="Q9" s="49">
        <f t="shared" si="7"/>
        <v>0.87187485782520735</v>
      </c>
      <c r="R9" s="49">
        <f t="shared" si="8"/>
        <v>0.62450592885375489</v>
      </c>
      <c r="S9" s="49">
        <f t="shared" si="9"/>
        <v>0.7272727272727274</v>
      </c>
      <c r="T9" s="49">
        <f t="shared" si="10"/>
        <v>0.24897959183673463</v>
      </c>
      <c r="U9">
        <v>0</v>
      </c>
    </row>
    <row r="10" spans="1:21" x14ac:dyDescent="0.3">
      <c r="A10" s="18">
        <f t="shared" si="12"/>
        <v>4</v>
      </c>
      <c r="B10" s="18">
        <v>1</v>
      </c>
      <c r="C10" s="18">
        <v>1.1300000000000008</v>
      </c>
      <c r="D10" s="18">
        <v>0.70000000000000018</v>
      </c>
      <c r="E10" s="18">
        <v>1.7800000000000002</v>
      </c>
      <c r="G10" s="18">
        <f t="shared" si="11"/>
        <v>1</v>
      </c>
      <c r="H10" s="49">
        <f>C10-(combined!C10+combined!D10)</f>
        <v>0.73963984050114839</v>
      </c>
      <c r="I10" s="49">
        <f>D10-(combined!J10+combined!K10)</f>
        <v>1.4459363719445126</v>
      </c>
      <c r="J10" s="49">
        <f>E10-(combined!Q10+combined!R10)</f>
        <v>2.0410059872868644</v>
      </c>
      <c r="L10" s="49">
        <f t="shared" si="3"/>
        <v>1</v>
      </c>
      <c r="M10" s="49">
        <f t="shared" si="4"/>
        <v>0.6320489426919591</v>
      </c>
      <c r="N10" s="49">
        <f t="shared" si="5"/>
        <v>0.84015637030332857</v>
      </c>
      <c r="O10" s="49">
        <f t="shared" si="6"/>
        <v>0.39672512193349529</v>
      </c>
      <c r="Q10" s="49">
        <f t="shared" si="7"/>
        <v>1</v>
      </c>
      <c r="R10" s="49">
        <f t="shared" si="8"/>
        <v>0.67193675889328097</v>
      </c>
      <c r="S10" s="49">
        <f t="shared" si="9"/>
        <v>0.81818181818181845</v>
      </c>
      <c r="T10" s="49">
        <f t="shared" si="10"/>
        <v>0.42448979591836733</v>
      </c>
      <c r="U10">
        <v>0</v>
      </c>
    </row>
    <row r="11" spans="1:21" x14ac:dyDescent="0.3">
      <c r="A11" s="18">
        <f t="shared" si="12"/>
        <v>5</v>
      </c>
      <c r="B11" s="18">
        <v>0.99035672854641965</v>
      </c>
      <c r="C11" s="18">
        <v>1.3599999999999994</v>
      </c>
      <c r="D11" s="18">
        <v>0.79999999999999982</v>
      </c>
      <c r="E11" s="18">
        <v>3.1500000000000004</v>
      </c>
      <c r="G11" s="18">
        <f t="shared" si="11"/>
        <v>0.99035672854641965</v>
      </c>
      <c r="H11" s="49">
        <f>C11-(combined!C11+combined!D11)</f>
        <v>0.90845527869900322</v>
      </c>
      <c r="I11" s="49">
        <f>D11-(combined!J11+combined!K11)</f>
        <v>1.5696900008586736</v>
      </c>
      <c r="J11" s="49">
        <f>E11-(combined!Q11+combined!R11)</f>
        <v>4.0749022744644776</v>
      </c>
      <c r="L11" s="49">
        <f t="shared" si="3"/>
        <v>0.99035672854641965</v>
      </c>
      <c r="M11" s="49">
        <f t="shared" si="4"/>
        <v>0.71352143300823112</v>
      </c>
      <c r="N11" s="49">
        <f t="shared" si="5"/>
        <v>0.88099493988665856</v>
      </c>
      <c r="O11" s="49">
        <f t="shared" si="6"/>
        <v>0.74140504027312559</v>
      </c>
      <c r="Q11" s="49">
        <f t="shared" si="7"/>
        <v>0.99035672854641965</v>
      </c>
      <c r="R11" s="49">
        <f t="shared" si="8"/>
        <v>0.76284584980237136</v>
      </c>
      <c r="S11" s="49">
        <f t="shared" si="9"/>
        <v>0.86363636363636365</v>
      </c>
      <c r="T11" s="49">
        <f t="shared" si="10"/>
        <v>0.70408163265306123</v>
      </c>
      <c r="U11">
        <v>0</v>
      </c>
    </row>
    <row r="12" spans="1:21" x14ac:dyDescent="0.3">
      <c r="A12" s="18">
        <f t="shared" si="12"/>
        <v>6</v>
      </c>
      <c r="B12" s="18">
        <v>0.8476247090537038</v>
      </c>
      <c r="C12" s="18">
        <v>1.6900000000000004</v>
      </c>
      <c r="D12" s="18">
        <v>0.70000000000000018</v>
      </c>
      <c r="E12" s="18">
        <v>4.1000000000000005</v>
      </c>
      <c r="G12" s="18">
        <f t="shared" si="11"/>
        <v>0.8476247090537038</v>
      </c>
      <c r="H12" s="49">
        <f>C12-(combined!C12+combined!D12)</f>
        <v>1.0930458480726597</v>
      </c>
      <c r="I12" s="49">
        <f>D12-(combined!J12+combined!K12)</f>
        <v>1.1246907051395818</v>
      </c>
      <c r="J12" s="49">
        <f>E12-(combined!Q12+combined!R12)</f>
        <v>5.2656493732736811</v>
      </c>
      <c r="L12" s="49">
        <f t="shared" si="3"/>
        <v>0.8476247090537038</v>
      </c>
      <c r="M12" s="49">
        <f t="shared" si="4"/>
        <v>0.80260720345858716</v>
      </c>
      <c r="N12" s="49">
        <f t="shared" si="5"/>
        <v>0.73414563241816944</v>
      </c>
      <c r="O12" s="49">
        <f t="shared" si="6"/>
        <v>0.94319832509702717</v>
      </c>
      <c r="Q12" s="49">
        <f t="shared" si="7"/>
        <v>0.8476247090537038</v>
      </c>
      <c r="R12" s="49">
        <f t="shared" si="8"/>
        <v>0.89328063241106737</v>
      </c>
      <c r="S12" s="49">
        <f t="shared" si="9"/>
        <v>0.81818181818181845</v>
      </c>
      <c r="T12" s="49">
        <f t="shared" si="10"/>
        <v>0.89795918367346939</v>
      </c>
      <c r="U12">
        <v>0</v>
      </c>
    </row>
    <row r="13" spans="1:21" x14ac:dyDescent="0.3">
      <c r="A13" s="18">
        <f t="shared" si="12"/>
        <v>7</v>
      </c>
      <c r="B13" s="18">
        <v>0.66859562290659602</v>
      </c>
      <c r="C13" s="18">
        <v>1.92</v>
      </c>
      <c r="D13" s="18">
        <v>0.90000000000000036</v>
      </c>
      <c r="E13" s="18">
        <v>4.3499999999999996</v>
      </c>
      <c r="G13" s="18">
        <f t="shared" si="11"/>
        <v>0.66859562290659602</v>
      </c>
      <c r="H13" s="49">
        <f>C13-(combined!C13+combined!D13)</f>
        <v>1.5020544755968781</v>
      </c>
      <c r="I13" s="49">
        <f>D13-(combined!J13+combined!K13)</f>
        <v>1.4752258260462583</v>
      </c>
      <c r="J13" s="49">
        <f>E13-(combined!Q13+combined!R13)</f>
        <v>5.6008261838263342</v>
      </c>
      <c r="L13" s="49">
        <f t="shared" si="3"/>
        <v>0.66859562290659602</v>
      </c>
      <c r="M13" s="49">
        <f t="shared" si="4"/>
        <v>1</v>
      </c>
      <c r="N13" s="49">
        <f t="shared" si="5"/>
        <v>0.84982185987229775</v>
      </c>
      <c r="O13" s="49">
        <f t="shared" si="6"/>
        <v>1</v>
      </c>
      <c r="Q13" s="49">
        <f t="shared" si="7"/>
        <v>0.66859562290659602</v>
      </c>
      <c r="R13" s="49">
        <f t="shared" si="8"/>
        <v>0.98418972332015808</v>
      </c>
      <c r="S13" s="49">
        <f t="shared" si="9"/>
        <v>0.90909090909090939</v>
      </c>
      <c r="T13" s="49">
        <f t="shared" si="10"/>
        <v>0.94897959183673453</v>
      </c>
      <c r="U13">
        <v>0</v>
      </c>
    </row>
    <row r="14" spans="1:21" x14ac:dyDescent="0.3">
      <c r="A14" s="18">
        <f t="shared" si="12"/>
        <v>8</v>
      </c>
      <c r="B14" s="18">
        <v>0.58281228032388821</v>
      </c>
      <c r="C14" s="18">
        <v>1.96</v>
      </c>
      <c r="D14" s="18">
        <v>0.90000000000000036</v>
      </c>
      <c r="E14" s="18">
        <v>4.6000000000000005</v>
      </c>
      <c r="G14" s="18">
        <f t="shared" si="11"/>
        <v>0.58281228032388821</v>
      </c>
      <c r="H14" s="49">
        <f>C14-(combined!C14+combined!D14)</f>
        <v>1.4338358783350911</v>
      </c>
      <c r="I14" s="49">
        <f>D14-(combined!J14+combined!K14)</f>
        <v>1.2709365186876238</v>
      </c>
      <c r="J14" s="49">
        <f>E14-(combined!Q14+combined!R14)</f>
        <v>5.4899298163191643</v>
      </c>
      <c r="L14" s="49">
        <f t="shared" si="3"/>
        <v>0.58281228032388821</v>
      </c>
      <c r="M14" s="49">
        <f t="shared" si="4"/>
        <v>0.96707683216574902</v>
      </c>
      <c r="N14" s="49">
        <f t="shared" si="5"/>
        <v>0.78240659967428983</v>
      </c>
      <c r="O14" s="49">
        <f t="shared" si="6"/>
        <v>0.98120663716360135</v>
      </c>
      <c r="Q14" s="49">
        <f t="shared" si="7"/>
        <v>0.58281228032388821</v>
      </c>
      <c r="R14" s="49">
        <f t="shared" si="8"/>
        <v>1</v>
      </c>
      <c r="S14" s="49">
        <f t="shared" si="9"/>
        <v>0.90909090909090939</v>
      </c>
      <c r="T14" s="49">
        <f t="shared" si="10"/>
        <v>1</v>
      </c>
      <c r="U14">
        <v>0</v>
      </c>
    </row>
    <row r="15" spans="1:21" x14ac:dyDescent="0.3">
      <c r="A15" s="18">
        <f t="shared" si="12"/>
        <v>9</v>
      </c>
      <c r="B15" s="18">
        <v>0.49507546847056488</v>
      </c>
      <c r="C15" s="18">
        <v>1.79</v>
      </c>
      <c r="D15" s="18">
        <v>1.0999999999999996</v>
      </c>
      <c r="E15" s="18">
        <v>4.4500000000000011</v>
      </c>
      <c r="G15" s="18">
        <f t="shared" si="11"/>
        <v>0.49507546847056488</v>
      </c>
      <c r="H15" s="49">
        <f>C15-(combined!C15+combined!D15)</f>
        <v>1.2559497731781679</v>
      </c>
      <c r="I15" s="49">
        <f>D15-(combined!J15+combined!K15)</f>
        <v>1.755396079896034</v>
      </c>
      <c r="J15" s="49">
        <f>E15-(combined!Q15+combined!R15)</f>
        <v>5.5180205599127845</v>
      </c>
      <c r="L15" s="49">
        <f t="shared" si="3"/>
        <v>0.49507546847056488</v>
      </c>
      <c r="M15" s="49">
        <f t="shared" si="4"/>
        <v>0.88122672192398943</v>
      </c>
      <c r="N15" s="49">
        <f t="shared" si="5"/>
        <v>0.94227775395326718</v>
      </c>
      <c r="O15" s="49">
        <f t="shared" si="6"/>
        <v>0.98596711353055733</v>
      </c>
      <c r="Q15" s="49">
        <f t="shared" si="7"/>
        <v>0.49507546847056488</v>
      </c>
      <c r="R15" s="49">
        <f t="shared" si="8"/>
        <v>0.93280632411067199</v>
      </c>
      <c r="S15" s="49">
        <f t="shared" si="9"/>
        <v>1</v>
      </c>
      <c r="T15" s="49">
        <f t="shared" si="10"/>
        <v>0.96938775510204089</v>
      </c>
      <c r="U15">
        <v>0</v>
      </c>
    </row>
    <row r="16" spans="1:21" x14ac:dyDescent="0.3">
      <c r="A16" s="18">
        <f t="shared" si="12"/>
        <v>10</v>
      </c>
      <c r="B16" s="18">
        <v>0.38611739252439931</v>
      </c>
      <c r="C16" s="18">
        <v>1.5199999999999996</v>
      </c>
      <c r="D16" s="18">
        <v>1.0999999999999996</v>
      </c>
      <c r="E16" s="18">
        <v>4.1999999999999993</v>
      </c>
      <c r="G16" s="18">
        <f t="shared" si="11"/>
        <v>0.38611739252439931</v>
      </c>
      <c r="H16" s="49">
        <f>C16-(combined!C16+combined!D16)</f>
        <v>0.82704504768631559</v>
      </c>
      <c r="I16" s="49">
        <f>D16-(combined!J16+combined!K16)</f>
        <v>1.9303125250664135</v>
      </c>
      <c r="J16" s="49">
        <f>E16-(combined!Q16+combined!R16)</f>
        <v>5.0451175019156445</v>
      </c>
      <c r="L16" s="49">
        <f t="shared" si="3"/>
        <v>0.38611739252439931</v>
      </c>
      <c r="M16" s="49">
        <f t="shared" si="4"/>
        <v>0.67423181395068366</v>
      </c>
      <c r="N16" s="49">
        <f t="shared" si="5"/>
        <v>1</v>
      </c>
      <c r="O16" s="49">
        <f t="shared" si="6"/>
        <v>0.90582527520742095</v>
      </c>
      <c r="Q16" s="49">
        <f t="shared" si="7"/>
        <v>0.38611739252439931</v>
      </c>
      <c r="R16" s="49">
        <f t="shared" si="8"/>
        <v>0.82608695652173902</v>
      </c>
      <c r="S16" s="49">
        <f t="shared" si="9"/>
        <v>1</v>
      </c>
      <c r="T16" s="49">
        <f t="shared" si="10"/>
        <v>0.91836734693877531</v>
      </c>
      <c r="U16">
        <v>0</v>
      </c>
    </row>
    <row r="17" spans="1:21" x14ac:dyDescent="0.3">
      <c r="A17" s="18">
        <f t="shared" si="12"/>
        <v>11</v>
      </c>
      <c r="B17" s="18">
        <v>0.40711028496136459</v>
      </c>
      <c r="C17" s="18">
        <v>1.5599999999999996</v>
      </c>
      <c r="D17" s="18">
        <v>0.79999999999999982</v>
      </c>
      <c r="E17" s="18">
        <v>4.05</v>
      </c>
      <c r="G17" s="18">
        <f t="shared" si="11"/>
        <v>0.40711028496136459</v>
      </c>
      <c r="H17" s="49">
        <f>C17-(combined!C17+combined!D17)</f>
        <v>0.66211971238855249</v>
      </c>
      <c r="I17" s="49">
        <f>D17-(combined!J17+combined!K17)</f>
        <v>1.4673714108385767</v>
      </c>
      <c r="J17" s="49">
        <f>E17-(combined!Q17+combined!R17)</f>
        <v>4.721873202518255</v>
      </c>
      <c r="L17" s="49">
        <f t="shared" si="3"/>
        <v>0.40711028496136459</v>
      </c>
      <c r="M17" s="49">
        <f t="shared" si="4"/>
        <v>0.59463673706437037</v>
      </c>
      <c r="N17" s="49">
        <f t="shared" si="5"/>
        <v>0.84722991097504352</v>
      </c>
      <c r="O17" s="49">
        <f t="shared" si="6"/>
        <v>0.85104577665459546</v>
      </c>
      <c r="Q17" s="49">
        <f t="shared" si="7"/>
        <v>0.40711028496136459</v>
      </c>
      <c r="R17" s="49">
        <f t="shared" si="8"/>
        <v>0.84189723320158094</v>
      </c>
      <c r="S17" s="49">
        <f t="shared" si="9"/>
        <v>0.86363636363636365</v>
      </c>
      <c r="T17" s="49">
        <f t="shared" si="10"/>
        <v>0.8877551020408162</v>
      </c>
      <c r="U17">
        <v>0</v>
      </c>
    </row>
    <row r="18" spans="1:21" x14ac:dyDescent="0.3">
      <c r="A18" s="18">
        <f t="shared" si="12"/>
        <v>12</v>
      </c>
      <c r="B18" s="18">
        <v>0.38735259352113827</v>
      </c>
      <c r="C18" s="18">
        <v>1.29</v>
      </c>
      <c r="D18" s="18">
        <v>0.70000000000000018</v>
      </c>
      <c r="E18" s="18">
        <v>4</v>
      </c>
      <c r="G18" s="18">
        <f t="shared" si="11"/>
        <v>0.38735259352113827</v>
      </c>
      <c r="H18" s="49">
        <f>C18-(combined!C18+combined!D18)</f>
        <v>0.21370309916524022</v>
      </c>
      <c r="I18" s="49">
        <f>D18-(combined!J18+combined!K18)</f>
        <v>1.2606647019395962</v>
      </c>
      <c r="J18" s="49">
        <f>E18-(combined!Q18+combined!R18)</f>
        <v>4.1272507429657699</v>
      </c>
      <c r="L18" s="49">
        <f t="shared" si="3"/>
        <v>0.38735259352113827</v>
      </c>
      <c r="M18" s="49">
        <f t="shared" si="4"/>
        <v>0.37822514243477412</v>
      </c>
      <c r="N18" s="49">
        <f t="shared" si="5"/>
        <v>0.77901691076825763</v>
      </c>
      <c r="O18" s="49">
        <f t="shared" si="6"/>
        <v>0.7502764197834686</v>
      </c>
      <c r="Q18" s="49">
        <f t="shared" si="7"/>
        <v>0.38735259352113827</v>
      </c>
      <c r="R18" s="49">
        <f t="shared" si="8"/>
        <v>0.73517786561264831</v>
      </c>
      <c r="S18" s="49">
        <f t="shared" si="9"/>
        <v>0.81818181818181845</v>
      </c>
      <c r="T18" s="49">
        <f t="shared" si="10"/>
        <v>0.87755102040816313</v>
      </c>
      <c r="U18">
        <v>0</v>
      </c>
    </row>
    <row r="19" spans="1:21" x14ac:dyDescent="0.3">
      <c r="A19" s="18">
        <f t="shared" si="12"/>
        <v>13</v>
      </c>
      <c r="B19" s="18">
        <v>0.28248013828334106</v>
      </c>
      <c r="C19" s="18">
        <v>1.1199999999999992</v>
      </c>
      <c r="D19" s="18">
        <v>0.59999999999999964</v>
      </c>
      <c r="E19" s="18">
        <v>3.5</v>
      </c>
      <c r="G19" s="18">
        <f t="shared" si="11"/>
        <v>0.28248013828334106</v>
      </c>
      <c r="H19" s="49">
        <f>C19-(combined!C19+combined!D19)</f>
        <v>-2.4897672423573436E-2</v>
      </c>
      <c r="I19" s="49">
        <f>D19-(combined!J19+combined!K19)</f>
        <v>1.1635318894131783</v>
      </c>
      <c r="J19" s="49">
        <f>E19-(combined!Q19+combined!R19)</f>
        <v>3.1469310357774067</v>
      </c>
      <c r="L19" s="49">
        <f t="shared" si="3"/>
        <v>0.28248013828334106</v>
      </c>
      <c r="M19" s="49">
        <f t="shared" si="4"/>
        <v>0.26307335738333038</v>
      </c>
      <c r="N19" s="49">
        <f t="shared" si="5"/>
        <v>0.74696318306758458</v>
      </c>
      <c r="O19" s="49">
        <f t="shared" si="6"/>
        <v>0.58414380095200114</v>
      </c>
      <c r="Q19" s="49">
        <f t="shared" si="7"/>
        <v>0.28248013828334106</v>
      </c>
      <c r="R19" s="49">
        <f t="shared" si="8"/>
        <v>0.66798418972331985</v>
      </c>
      <c r="S19" s="49">
        <f t="shared" si="9"/>
        <v>0.77272727272727271</v>
      </c>
      <c r="T19" s="49">
        <f t="shared" si="10"/>
        <v>0.77551020408163251</v>
      </c>
      <c r="U19">
        <v>0</v>
      </c>
    </row>
    <row r="20" spans="1:21" x14ac:dyDescent="0.3">
      <c r="A20" s="18">
        <f t="shared" si="12"/>
        <v>14</v>
      </c>
      <c r="B20" s="18">
        <v>0.24764517699420016</v>
      </c>
      <c r="C20" s="18">
        <v>1.1599999999999993</v>
      </c>
      <c r="D20" s="18">
        <v>0.40000000000000036</v>
      </c>
      <c r="E20" s="18">
        <v>3.5</v>
      </c>
      <c r="G20" s="18">
        <f t="shared" si="11"/>
        <v>0.24764517699420016</v>
      </c>
      <c r="H20" s="49">
        <f>C20-(combined!C20+combined!D20)</f>
        <v>-9.5800196808923932E-2</v>
      </c>
      <c r="I20" s="49">
        <f>D20-(combined!J20+combined!K20)</f>
        <v>0.88223756154309585</v>
      </c>
      <c r="J20" s="49">
        <f>E20-(combined!Q20+combined!R20)</f>
        <v>3.032546899776853</v>
      </c>
      <c r="L20" s="49">
        <f t="shared" si="3"/>
        <v>0.24764517699420016</v>
      </c>
      <c r="M20" s="49">
        <f t="shared" si="4"/>
        <v>0.22885489198080944</v>
      </c>
      <c r="N20" s="49">
        <f t="shared" si="5"/>
        <v>0.65413634572218005</v>
      </c>
      <c r="O20" s="49">
        <f t="shared" si="6"/>
        <v>0.56475937368077067</v>
      </c>
      <c r="Q20" s="49">
        <f t="shared" si="7"/>
        <v>0.24764517699420016</v>
      </c>
      <c r="R20" s="49">
        <f t="shared" si="8"/>
        <v>0.68379446640316177</v>
      </c>
      <c r="S20" s="49">
        <f t="shared" si="9"/>
        <v>0.6818181818181821</v>
      </c>
      <c r="T20" s="49">
        <f t="shared" si="10"/>
        <v>0.77551020408163251</v>
      </c>
      <c r="U20">
        <v>0</v>
      </c>
    </row>
    <row r="21" spans="1:21" x14ac:dyDescent="0.3">
      <c r="A21" s="18">
        <f t="shared" si="12"/>
        <v>15</v>
      </c>
      <c r="B21" s="18">
        <v>0.2453488546958886</v>
      </c>
      <c r="C21" s="18">
        <v>0.79</v>
      </c>
      <c r="D21" s="18">
        <v>0.40000000000000036</v>
      </c>
      <c r="E21" s="18">
        <v>3.5</v>
      </c>
      <c r="G21" s="18">
        <f t="shared" si="11"/>
        <v>0.2453488546958886</v>
      </c>
      <c r="H21" s="49">
        <f>C21-(combined!C21+combined!D21)</f>
        <v>-0.83322966946444654</v>
      </c>
      <c r="I21" s="49">
        <f>D21-(combined!J21+combined!K21)</f>
        <v>0.61025926717804901</v>
      </c>
      <c r="J21" s="49">
        <f>E21-(combined!Q21+combined!R21)</f>
        <v>2.4599673200887562</v>
      </c>
      <c r="L21" s="49">
        <f t="shared" si="3"/>
        <v>0.2453488546958886</v>
      </c>
      <c r="M21" s="49">
        <f t="shared" si="4"/>
        <v>-0.12703800627086315</v>
      </c>
      <c r="N21" s="49">
        <f t="shared" si="5"/>
        <v>0.56438378980087744</v>
      </c>
      <c r="O21" s="49">
        <f t="shared" si="6"/>
        <v>0.4677255750480489</v>
      </c>
      <c r="Q21" s="49">
        <f t="shared" si="7"/>
        <v>0.2453488546958886</v>
      </c>
      <c r="R21" s="49">
        <f t="shared" si="8"/>
        <v>0.53754940711462462</v>
      </c>
      <c r="S21" s="49">
        <f t="shared" si="9"/>
        <v>0.6818181818181821</v>
      </c>
      <c r="T21" s="49">
        <f t="shared" si="10"/>
        <v>0.77551020408163251</v>
      </c>
      <c r="U21">
        <v>0</v>
      </c>
    </row>
    <row r="22" spans="1:21" x14ac:dyDescent="0.3">
      <c r="A22" s="18">
        <f t="shared" si="12"/>
        <v>16</v>
      </c>
      <c r="B22" s="18">
        <v>2.0398464299961155E-2</v>
      </c>
      <c r="C22" s="18">
        <v>0.62000000000000011</v>
      </c>
      <c r="D22" s="18">
        <v>0.29999999999999982</v>
      </c>
      <c r="E22" s="18">
        <v>3.1999999999999993</v>
      </c>
      <c r="G22" s="18">
        <f t="shared" si="11"/>
        <v>2.0398464299961155E-2</v>
      </c>
      <c r="H22" s="49">
        <f>C22-(combined!C22+combined!D22)</f>
        <v>-0.99425933947211442</v>
      </c>
      <c r="I22" s="49">
        <f>D22-(combined!J22+combined!K22)</f>
        <v>0.25218064896026504</v>
      </c>
      <c r="J22" s="49">
        <f>E22-(combined!Q22+combined!R22)</f>
        <v>2.0834553875053943</v>
      </c>
      <c r="L22" s="49">
        <f t="shared" si="3"/>
        <v>2.0398464299961155E-2</v>
      </c>
      <c r="M22" s="49">
        <f t="shared" si="4"/>
        <v>-0.20475298524663618</v>
      </c>
      <c r="N22" s="49">
        <f t="shared" si="5"/>
        <v>0.44621821603388256</v>
      </c>
      <c r="O22" s="49">
        <f t="shared" si="6"/>
        <v>0.40391892817284536</v>
      </c>
      <c r="Q22" s="49">
        <f t="shared" si="7"/>
        <v>2.0398464299961155E-2</v>
      </c>
      <c r="R22" s="49">
        <f t="shared" si="8"/>
        <v>0.47035573122529656</v>
      </c>
      <c r="S22" s="49">
        <f t="shared" si="9"/>
        <v>0.63636363636363635</v>
      </c>
      <c r="T22" s="49">
        <f t="shared" si="10"/>
        <v>0.71428571428571408</v>
      </c>
      <c r="U22">
        <v>0</v>
      </c>
    </row>
    <row r="23" spans="1:21" x14ac:dyDescent="0.3">
      <c r="B23" s="18">
        <v>-6.5411918422383711E-2</v>
      </c>
      <c r="C23" s="18">
        <v>0.25</v>
      </c>
      <c r="D23" s="18">
        <v>9.9999999999999645E-2</v>
      </c>
      <c r="E23" s="18">
        <v>2.8000000000000007</v>
      </c>
    </row>
    <row r="24" spans="1:21" x14ac:dyDescent="0.3">
      <c r="B24" s="18">
        <v>-9.8601191678253083E-2</v>
      </c>
      <c r="C24" s="18">
        <v>0.16999999999999993</v>
      </c>
      <c r="D24" s="18">
        <v>0</v>
      </c>
      <c r="E24" s="18">
        <v>2.6999999999999993</v>
      </c>
    </row>
    <row r="25" spans="1:21" x14ac:dyDescent="0.3">
      <c r="B25" s="18">
        <v>2.3649388510543642E-2</v>
      </c>
      <c r="C25" s="18">
        <v>0.40000000000000036</v>
      </c>
      <c r="D25" s="18">
        <v>0</v>
      </c>
      <c r="E25" s="18">
        <v>2.5</v>
      </c>
    </row>
    <row r="26" spans="1:21" x14ac:dyDescent="0.3">
      <c r="B26" s="18">
        <v>-5.2739743115611117E-2</v>
      </c>
      <c r="C26" s="18">
        <v>0.4300000000000006</v>
      </c>
      <c r="D26" s="18">
        <v>-0.29999999999999982</v>
      </c>
      <c r="E26" s="18">
        <v>2.2999999999999998</v>
      </c>
    </row>
  </sheetData>
  <mergeCells count="4">
    <mergeCell ref="B3:E3"/>
    <mergeCell ref="G3:J3"/>
    <mergeCell ref="L3:O3"/>
    <mergeCell ref="Q3:T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MPeffects</vt:lpstr>
      <vt:lpstr>1990recession</vt:lpstr>
      <vt:lpstr>2001recession</vt:lpstr>
      <vt:lpstr>2007recession</vt:lpstr>
      <vt:lpstr>FiscalPolicy</vt:lpstr>
      <vt:lpstr>combined</vt:lpstr>
      <vt:lpstr>normalized</vt:lpstr>
      <vt:lpstr>Figure 3 - Panel 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uras</cp:lastModifiedBy>
  <dcterms:created xsi:type="dcterms:W3CDTF">2013-08-15T15:49:23Z</dcterms:created>
  <dcterms:modified xsi:type="dcterms:W3CDTF">2013-10-23T22:42:25Z</dcterms:modified>
</cp:coreProperties>
</file>