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 activeTab="6"/>
  </bookViews>
  <sheets>
    <sheet name="Growth Rates" sheetId="4" r:id="rId1"/>
    <sheet name="Medicaid Calculations" sheetId="6" r:id="rId2"/>
    <sheet name="Private Calculations" sheetId="9" r:id="rId3"/>
    <sheet name="FINAL TABLE" sheetId="10" r:id="rId4"/>
    <sheet name="PREDICTIONS" sheetId="8" r:id="rId5"/>
    <sheet name="Medicaid Age Adjustment" sheetId="7" r:id="rId6"/>
    <sheet name="Private Age Adjustment" sheetId="11" r:id="rId7"/>
  </sheets>
  <calcPr calcId="125725"/>
</workbook>
</file>

<file path=xl/calcChain.xml><?xml version="1.0" encoding="utf-8"?>
<calcChain xmlns="http://schemas.openxmlformats.org/spreadsheetml/2006/main">
  <c r="H9" i="11"/>
  <c r="G9"/>
  <c r="F9"/>
  <c r="E9"/>
  <c r="D9"/>
  <c r="C9"/>
  <c r="B9"/>
  <c r="N4" i="4"/>
  <c r="K8"/>
  <c r="J8"/>
  <c r="I8"/>
  <c r="F8"/>
  <c r="D8"/>
  <c r="C8"/>
  <c r="B8"/>
  <c r="D5" i="10"/>
  <c r="C5"/>
  <c r="F3"/>
  <c r="F4"/>
  <c r="F2"/>
  <c r="E3"/>
  <c r="E4"/>
  <c r="E2"/>
  <c r="D3"/>
  <c r="D4"/>
  <c r="D2"/>
  <c r="C2"/>
  <c r="C3"/>
  <c r="C4"/>
  <c r="B5"/>
  <c r="B3"/>
  <c r="B4"/>
  <c r="B2"/>
  <c r="C6" i="4"/>
  <c r="C5"/>
  <c r="C4"/>
  <c r="AG6" i="9"/>
  <c r="N6"/>
  <c r="M6"/>
  <c r="K6"/>
  <c r="J6"/>
  <c r="I6"/>
  <c r="H6"/>
  <c r="E6" s="1"/>
  <c r="G6"/>
  <c r="D6" s="1"/>
  <c r="E11"/>
  <c r="D11"/>
  <c r="C11"/>
  <c r="H5"/>
  <c r="G5"/>
  <c r="G4"/>
  <c r="F4"/>
  <c r="H4"/>
  <c r="I4"/>
  <c r="J4"/>
  <c r="K4"/>
  <c r="M4"/>
  <c r="N4"/>
  <c r="J5"/>
  <c r="K5"/>
  <c r="M5"/>
  <c r="N5"/>
  <c r="I5"/>
  <c r="AG3"/>
  <c r="AG4"/>
  <c r="AG5"/>
  <c r="AG8"/>
  <c r="E4"/>
  <c r="D4"/>
  <c r="N10"/>
  <c r="M10"/>
  <c r="L10"/>
  <c r="I10"/>
  <c r="I9"/>
  <c r="L9"/>
  <c r="M9"/>
  <c r="N9"/>
  <c r="N8"/>
  <c r="M8"/>
  <c r="L8"/>
  <c r="I8"/>
  <c r="H10"/>
  <c r="G8"/>
  <c r="G10"/>
  <c r="AG10"/>
  <c r="AG9"/>
  <c r="H9" s="1"/>
  <c r="H8"/>
  <c r="F6" l="1"/>
  <c r="C6" s="1"/>
  <c r="F8"/>
  <c r="F10"/>
  <c r="F5"/>
  <c r="G9"/>
  <c r="E5"/>
  <c r="E8" s="1"/>
  <c r="E9" s="1"/>
  <c r="C4"/>
  <c r="D5"/>
  <c r="D8" s="1"/>
  <c r="D9" s="1"/>
  <c r="D13" s="1"/>
  <c r="F9"/>
  <c r="O6" i="4"/>
  <c r="Q4"/>
  <c r="R4"/>
  <c r="S4"/>
  <c r="Q5"/>
  <c r="R5"/>
  <c r="S5"/>
  <c r="Q6"/>
  <c r="R6"/>
  <c r="S6"/>
  <c r="J6"/>
  <c r="J5"/>
  <c r="J4"/>
  <c r="I6"/>
  <c r="P6" s="1"/>
  <c r="I5"/>
  <c r="P5" s="1"/>
  <c r="I4"/>
  <c r="O4" s="1"/>
  <c r="H7"/>
  <c r="I7" s="1"/>
  <c r="E8"/>
  <c r="F4" s="1"/>
  <c r="C6" i="8"/>
  <c r="D6"/>
  <c r="Q11" i="4"/>
  <c r="N11"/>
  <c r="D11"/>
  <c r="P11" s="1"/>
  <c r="O3" i="7"/>
  <c r="P3"/>
  <c r="Q3"/>
  <c r="O4"/>
  <c r="P4"/>
  <c r="Q4"/>
  <c r="O5"/>
  <c r="P5"/>
  <c r="Q5"/>
  <c r="O6"/>
  <c r="P6"/>
  <c r="Q6"/>
  <c r="N6"/>
  <c r="R6" s="1"/>
  <c r="S6" s="1"/>
  <c r="N5"/>
  <c r="R5" s="1"/>
  <c r="S5" s="1"/>
  <c r="N4"/>
  <c r="R4" s="1"/>
  <c r="S4" s="1"/>
  <c r="N3"/>
  <c r="R3" s="1"/>
  <c r="S3" s="1"/>
  <c r="G7"/>
  <c r="F7"/>
  <c r="E7"/>
  <c r="D7"/>
  <c r="C7"/>
  <c r="B7"/>
  <c r="B3" i="6"/>
  <c r="S7" i="7" l="1"/>
  <c r="C5" i="9"/>
  <c r="C8" s="1"/>
  <c r="C9" s="1"/>
  <c r="D10"/>
  <c r="E10"/>
  <c r="P4" i="4"/>
  <c r="N6"/>
  <c r="O5"/>
  <c r="N5"/>
  <c r="F6"/>
  <c r="R11"/>
  <c r="O11"/>
  <c r="S11"/>
  <c r="F6" i="8"/>
  <c r="F8" s="1"/>
  <c r="F5" i="4"/>
  <c r="L6"/>
  <c r="L4"/>
  <c r="L5"/>
  <c r="C10" i="9" l="1"/>
  <c r="G8" i="4"/>
  <c r="L8"/>
</calcChain>
</file>

<file path=xl/comments1.xml><?xml version="1.0" encoding="utf-8"?>
<comments xmlns="http://schemas.openxmlformats.org/spreadsheetml/2006/main">
  <authors>
    <author>Jonathan Holmes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Jonathan Holmes:</t>
        </r>
        <r>
          <rPr>
            <sz val="9"/>
            <color indexed="81"/>
            <rFont val="Tahoma"/>
            <family val="2"/>
          </rPr>
          <t xml:space="preserve">
I include this row to check whether the change in methodology makes a difference between 2009-2010. It appears not much. </t>
        </r>
      </text>
    </comment>
  </commentList>
</comments>
</file>

<file path=xl/sharedStrings.xml><?xml version="1.0" encoding="utf-8"?>
<sst xmlns="http://schemas.openxmlformats.org/spreadsheetml/2006/main" count="123" uniqueCount="83">
  <si>
    <t>Price Growth (Real)</t>
  </si>
  <si>
    <t>Utilization Growth</t>
  </si>
  <si>
    <t>Share of Payments</t>
  </si>
  <si>
    <t>Medicare</t>
  </si>
  <si>
    <t>Medicaid</t>
  </si>
  <si>
    <t>Private</t>
  </si>
  <si>
    <t>Total (weighted)</t>
  </si>
  <si>
    <t>CHANGE IN COST PER ENROLLEE</t>
  </si>
  <si>
    <t>Total Cost per Enrollee</t>
  </si>
  <si>
    <t>CHANGE IN ENROLLMENT</t>
  </si>
  <si>
    <t>Fraction of Enrollees</t>
  </si>
  <si>
    <t>Number of Enrollees (2010)</t>
  </si>
  <si>
    <t xml:space="preserve">Cumulative Growth (08-12) </t>
  </si>
  <si>
    <t xml:space="preserve">Annual Growth </t>
  </si>
  <si>
    <t>MEDICAID</t>
  </si>
  <si>
    <t>Change in Total Spending</t>
  </si>
  <si>
    <t>COUNTERFACTUALS</t>
  </si>
  <si>
    <t>Spending Per Enrollee = Private</t>
  </si>
  <si>
    <t>Price Per Enrollee = Private</t>
  </si>
  <si>
    <t>Utilization Per Enrollee = Private</t>
  </si>
  <si>
    <t>Price Per Enrollee = Medicare</t>
  </si>
  <si>
    <t>Utilization Per Enrollee =Medicare</t>
  </si>
  <si>
    <t>Spending Per Enrollee =Medicare</t>
  </si>
  <si>
    <t>Total</t>
  </si>
  <si>
    <t>Children</t>
  </si>
  <si>
    <t>Adults</t>
  </si>
  <si>
    <t>Disabled</t>
  </si>
  <si>
    <t>Aged</t>
  </si>
  <si>
    <t>Unknown</t>
  </si>
  <si>
    <t>CONSTANT COSTS</t>
  </si>
  <si>
    <t>TOTAL</t>
  </si>
  <si>
    <t>PER ENROLLEE</t>
  </si>
  <si>
    <t>Medicaid (Age-Adjusted)</t>
  </si>
  <si>
    <t>Price Growth</t>
  </si>
  <si>
    <t>Aging Index</t>
  </si>
  <si>
    <t>GDP Growth</t>
  </si>
  <si>
    <t>NA</t>
  </si>
  <si>
    <t>Raw Costs</t>
  </si>
  <si>
    <t>Yearly Enrollment Growth</t>
  </si>
  <si>
    <t>CONTRIBUTION TO HEALTH SPENDING GROWTH UNDER DIFFERENT SCENARIOS</t>
  </si>
  <si>
    <t>Other</t>
  </si>
  <si>
    <t>Total Spending (2010)</t>
  </si>
  <si>
    <t>Share of Total Spending</t>
  </si>
  <si>
    <t>Share of MMP Spending</t>
  </si>
  <si>
    <t>Rounded Share of MMP Spending</t>
  </si>
  <si>
    <t>Yearly Spending Growth</t>
  </si>
  <si>
    <t>Net Growth</t>
  </si>
  <si>
    <t>Inpatient</t>
  </si>
  <si>
    <t>Outpatient Visits</t>
  </si>
  <si>
    <t>TOTAL GROWTH</t>
  </si>
  <si>
    <t>Year</t>
  </si>
  <si>
    <t>Price Index</t>
  </si>
  <si>
    <t>Quantity Index</t>
  </si>
  <si>
    <t>Quantity Growth</t>
  </si>
  <si>
    <t>COMPONENTS OF PRICE GROWTH</t>
  </si>
  <si>
    <t>Total Index</t>
  </si>
  <si>
    <t>Total Growth</t>
  </si>
  <si>
    <t>Outpatient</t>
  </si>
  <si>
    <t>Procedures</t>
  </si>
  <si>
    <t>Prescription</t>
  </si>
  <si>
    <t>COMPONENTS OF QUANTITY GROWTH</t>
  </si>
  <si>
    <t>TOTAL SPENDING</t>
  </si>
  <si>
    <t>Equals</t>
  </si>
  <si>
    <t>Outpatient Procedures</t>
  </si>
  <si>
    <t>Total (Weighted)</t>
  </si>
  <si>
    <t>Enrollment Growth</t>
  </si>
  <si>
    <t>Share of Enrollees</t>
  </si>
  <si>
    <t>Number of Individuals Privately Insured By Age and Year</t>
  </si>
  <si>
    <t>18-24</t>
  </si>
  <si>
    <t>25-34</t>
  </si>
  <si>
    <t>35-44</t>
  </si>
  <si>
    <t>45-54</t>
  </si>
  <si>
    <t>55-64</t>
  </si>
  <si>
    <t>65+</t>
  </si>
  <si>
    <t>Annualized Growth</t>
  </si>
  <si>
    <t>SOURCE</t>
  </si>
  <si>
    <t>(HCCI, 2012)</t>
  </si>
  <si>
    <t xml:space="preserve">(HCCI, 2013) </t>
  </si>
  <si>
    <t>Minus the GDP Deflator</t>
  </si>
  <si>
    <t>ESTIMATED COSTS (ASSUMING CONSTANT COSTS)</t>
  </si>
  <si>
    <t>NUMBER OF ENROLLEES</t>
  </si>
  <si>
    <t>Yearly Growth</t>
  </si>
  <si>
    <t>FUTURE SPENDING GROWTH PREDICTIONS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</si>
</sst>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%"/>
    <numFmt numFmtId="165" formatCode="0.000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164" fontId="0" fillId="0" borderId="0" xfId="1" applyNumberFormat="1" applyFont="1"/>
    <xf numFmtId="9" fontId="0" fillId="0" borderId="0" xfId="1" applyNumberFormat="1" applyFont="1"/>
    <xf numFmtId="164" fontId="0" fillId="0" borderId="0" xfId="0" applyNumberFormat="1"/>
    <xf numFmtId="164" fontId="2" fillId="0" borderId="0" xfId="1" applyNumberFormat="1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1" fillId="0" borderId="0" xfId="1" applyNumberFormat="1" applyFont="1"/>
    <xf numFmtId="0" fontId="0" fillId="0" borderId="0" xfId="0" applyAlignment="1">
      <alignment horizontal="center"/>
    </xf>
    <xf numFmtId="9" fontId="0" fillId="0" borderId="0" xfId="1" applyFont="1"/>
    <xf numFmtId="3" fontId="0" fillId="0" borderId="0" xfId="0" applyNumberFormat="1"/>
    <xf numFmtId="10" fontId="0" fillId="0" borderId="0" xfId="0" applyNumberFormat="1"/>
    <xf numFmtId="165" fontId="0" fillId="0" borderId="0" xfId="0" applyNumberFormat="1"/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43" fontId="0" fillId="0" borderId="0" xfId="2" applyFont="1"/>
    <xf numFmtId="1" fontId="0" fillId="0" borderId="0" xfId="1" applyNumberFormat="1" applyFont="1"/>
    <xf numFmtId="1" fontId="0" fillId="0" borderId="0" xfId="0" applyNumberFormat="1"/>
    <xf numFmtId="0" fontId="0" fillId="6" borderId="0" xfId="0" applyFill="1"/>
    <xf numFmtId="164" fontId="0" fillId="6" borderId="0" xfId="1" applyNumberFormat="1" applyFont="1" applyFill="1"/>
    <xf numFmtId="164" fontId="2" fillId="6" borderId="0" xfId="1" applyNumberFormat="1" applyFont="1" applyFill="1"/>
    <xf numFmtId="1" fontId="0" fillId="6" borderId="0" xfId="1" applyNumberFormat="1" applyFont="1" applyFill="1"/>
    <xf numFmtId="1" fontId="0" fillId="6" borderId="0" xfId="0" applyNumberFormat="1" applyFill="1"/>
    <xf numFmtId="0" fontId="2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43" fontId="2" fillId="0" borderId="0" xfId="2" applyFont="1"/>
    <xf numFmtId="0" fontId="0" fillId="0" borderId="0" xfId="0" applyFont="1"/>
    <xf numFmtId="0" fontId="0" fillId="0" borderId="0" xfId="0" applyAlignment="1">
      <alignment horizontal="righ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workbookViewId="0">
      <selection activeCell="D15" sqref="D15"/>
    </sheetView>
  </sheetViews>
  <sheetFormatPr defaultRowHeight="15"/>
  <cols>
    <col min="1" max="1" width="27.5703125" bestFit="1" customWidth="1"/>
    <col min="2" max="2" width="14.42578125" customWidth="1"/>
    <col min="3" max="3" width="12.140625" customWidth="1"/>
    <col min="4" max="4" width="13.140625" customWidth="1"/>
    <col min="5" max="5" width="15.28515625" customWidth="1"/>
    <col min="6" max="6" width="14" customWidth="1"/>
    <col min="7" max="7" width="17" bestFit="1" customWidth="1"/>
    <col min="8" max="8" width="15" customWidth="1"/>
    <col min="9" max="9" width="17" customWidth="1"/>
    <col min="10" max="10" width="13.7109375" customWidth="1"/>
    <col min="11" max="11" width="17.42578125" customWidth="1"/>
    <col min="12" max="12" width="15.85546875" customWidth="1"/>
    <col min="13" max="13" width="7.140625" customWidth="1"/>
    <col min="14" max="14" width="18.140625" customWidth="1"/>
    <col min="15" max="15" width="19.28515625" customWidth="1"/>
    <col min="16" max="17" width="18.5703125" customWidth="1"/>
    <col min="18" max="18" width="20.7109375" customWidth="1"/>
    <col min="19" max="19" width="18.85546875" customWidth="1"/>
  </cols>
  <sheetData>
    <row r="1" spans="1:19">
      <c r="B1" s="29" t="s">
        <v>7</v>
      </c>
      <c r="C1" s="29"/>
      <c r="D1" s="29"/>
      <c r="E1" s="26" t="s">
        <v>9</v>
      </c>
      <c r="F1" s="26"/>
      <c r="G1" s="26"/>
      <c r="H1" s="27" t="s">
        <v>15</v>
      </c>
      <c r="I1" s="27"/>
      <c r="J1" s="27"/>
      <c r="K1" s="27"/>
      <c r="L1" s="27"/>
      <c r="N1" s="25" t="s">
        <v>39</v>
      </c>
      <c r="O1" s="25"/>
      <c r="P1" s="25"/>
      <c r="Q1" s="25"/>
      <c r="R1" s="25"/>
      <c r="S1" s="25"/>
    </row>
    <row r="2" spans="1:19" s="7" customFormat="1" ht="30">
      <c r="B2" s="14" t="s">
        <v>0</v>
      </c>
      <c r="C2" s="14" t="s">
        <v>1</v>
      </c>
      <c r="D2" s="14" t="s">
        <v>8</v>
      </c>
      <c r="E2" s="14" t="s">
        <v>11</v>
      </c>
      <c r="F2" s="14" t="s">
        <v>10</v>
      </c>
      <c r="G2" s="14" t="s">
        <v>38</v>
      </c>
      <c r="H2" s="14" t="s">
        <v>41</v>
      </c>
      <c r="I2" s="14" t="s">
        <v>42</v>
      </c>
      <c r="J2" s="14" t="s">
        <v>43</v>
      </c>
      <c r="K2" s="14" t="s">
        <v>44</v>
      </c>
      <c r="L2" s="14" t="s">
        <v>45</v>
      </c>
      <c r="N2" s="7" t="s">
        <v>18</v>
      </c>
      <c r="O2" s="7" t="s">
        <v>19</v>
      </c>
      <c r="P2" s="7" t="s">
        <v>17</v>
      </c>
      <c r="Q2" s="7" t="s">
        <v>20</v>
      </c>
      <c r="R2" s="7" t="s">
        <v>21</v>
      </c>
      <c r="S2" s="7" t="s">
        <v>22</v>
      </c>
    </row>
    <row r="3" spans="1:19" s="7" customFormat="1">
      <c r="A3" s="16" t="s">
        <v>37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9">
      <c r="A4" t="s">
        <v>3</v>
      </c>
      <c r="B4" s="1">
        <v>8.9999999999999993E-3</v>
      </c>
      <c r="C4" s="1">
        <f>(1+D4)/((1+B4))-1</f>
        <v>1.3776015857284385E-2</v>
      </c>
      <c r="D4" s="1">
        <v>2.29E-2</v>
      </c>
      <c r="E4">
        <v>46.6</v>
      </c>
      <c r="F4" s="1">
        <f>E4/E$8</f>
        <v>0.16293706293706295</v>
      </c>
      <c r="G4" s="1">
        <v>2.4500000000000001E-2</v>
      </c>
      <c r="H4" s="17">
        <v>521990</v>
      </c>
      <c r="I4" s="1">
        <f>H4/H$8</f>
        <v>0.20076916834201874</v>
      </c>
      <c r="J4" s="2">
        <f>H4/SUM(H$4:H$6)</f>
        <v>0.2926970135360944</v>
      </c>
      <c r="K4" s="1">
        <v>0.3</v>
      </c>
      <c r="L4" s="1">
        <f>(1+G4)*(1+D4)-1</f>
        <v>4.7961049999999839E-2</v>
      </c>
      <c r="N4" s="1">
        <f>(B$6-B4)*$I4</f>
        <v>3.613845030156338E-3</v>
      </c>
      <c r="O4" s="1">
        <f t="shared" ref="N4:P6" si="0">(C$6-C4)*$I4</f>
        <v>-1.3973628510234582E-3</v>
      </c>
      <c r="P4" s="1">
        <f t="shared" si="0"/>
        <v>2.2285377685964084E-3</v>
      </c>
      <c r="Q4" s="1">
        <f t="shared" ref="Q4:S6" si="1">(B$4-B4)*$K4</f>
        <v>0</v>
      </c>
      <c r="R4" s="1">
        <f t="shared" si="1"/>
        <v>0</v>
      </c>
      <c r="S4" s="1">
        <f t="shared" si="1"/>
        <v>0</v>
      </c>
    </row>
    <row r="5" spans="1:19">
      <c r="A5" t="s">
        <v>4</v>
      </c>
      <c r="B5" s="8">
        <v>-4.0000000000000001E-3</v>
      </c>
      <c r="C5" s="1">
        <f>(1+D5)/((1+B5))-1</f>
        <v>-8.0321285140561027E-4</v>
      </c>
      <c r="D5" s="1">
        <v>-4.7999999999999996E-3</v>
      </c>
      <c r="E5">
        <v>53.1</v>
      </c>
      <c r="F5" s="1">
        <f>E5/E$8</f>
        <v>0.18566433566433566</v>
      </c>
      <c r="G5" s="1">
        <v>4.7E-2</v>
      </c>
      <c r="H5" s="17">
        <v>397688</v>
      </c>
      <c r="I5" s="1">
        <f>H5/H$8</f>
        <v>0.15295980578095511</v>
      </c>
      <c r="J5" s="2">
        <f>H5/SUM(H$4:H$6)</f>
        <v>0.22299678139263646</v>
      </c>
      <c r="K5" s="1">
        <v>0.22</v>
      </c>
      <c r="L5" s="1">
        <f>(1+G5)*(1+D5)-1</f>
        <v>4.1974399999999967E-2</v>
      </c>
      <c r="N5" s="1">
        <f t="shared" si="0"/>
        <v>4.741753979209608E-3</v>
      </c>
      <c r="O5" s="1">
        <f t="shared" si="0"/>
        <v>1.1654285519238311E-3</v>
      </c>
      <c r="P5" s="1">
        <f t="shared" si="0"/>
        <v>5.9348404643010588E-3</v>
      </c>
      <c r="Q5" s="1">
        <f t="shared" si="1"/>
        <v>2.8599999999999997E-3</v>
      </c>
      <c r="R5" s="1">
        <f t="shared" si="1"/>
        <v>3.2074303159117992E-3</v>
      </c>
      <c r="S5" s="1">
        <f t="shared" si="1"/>
        <v>6.0939999999999996E-3</v>
      </c>
    </row>
    <row r="6" spans="1:19">
      <c r="A6" t="s">
        <v>5</v>
      </c>
      <c r="B6" s="8">
        <v>2.7E-2</v>
      </c>
      <c r="C6" s="1">
        <f>(1+D6)/((1+B6))-1</f>
        <v>6.8159688412854358E-3</v>
      </c>
      <c r="D6" s="1">
        <v>3.4000000000000002E-2</v>
      </c>
      <c r="E6">
        <v>186.3</v>
      </c>
      <c r="F6" s="1">
        <f>E6/E$8</f>
        <v>0.6513986013986014</v>
      </c>
      <c r="G6" s="1">
        <v>-1.32E-2</v>
      </c>
      <c r="H6" s="17">
        <v>863702</v>
      </c>
      <c r="I6" s="1">
        <f>H6/H$8</f>
        <v>0.33219933760290099</v>
      </c>
      <c r="J6" s="2">
        <f>H6/SUM(H$4:H$6)</f>
        <v>0.48430620507126915</v>
      </c>
      <c r="K6" s="1">
        <v>0.48</v>
      </c>
      <c r="L6" s="1">
        <f>(1+G6)*(1+D6)-1</f>
        <v>2.0351200000000125E-2</v>
      </c>
      <c r="N6" s="1">
        <f t="shared" si="0"/>
        <v>0</v>
      </c>
      <c r="O6" s="1">
        <f t="shared" si="0"/>
        <v>0</v>
      </c>
      <c r="P6" s="1">
        <f t="shared" si="0"/>
        <v>0</v>
      </c>
      <c r="Q6" s="1">
        <f t="shared" si="1"/>
        <v>-8.6400000000000001E-3</v>
      </c>
      <c r="R6" s="1">
        <f t="shared" si="1"/>
        <v>3.3408225676794957E-3</v>
      </c>
      <c r="S6" s="1">
        <f t="shared" si="1"/>
        <v>-5.3280000000000011E-3</v>
      </c>
    </row>
    <row r="7" spans="1:19">
      <c r="A7" t="s">
        <v>40</v>
      </c>
      <c r="B7" s="8"/>
      <c r="C7" s="1"/>
      <c r="D7" s="1"/>
      <c r="F7" s="1"/>
      <c r="G7" s="1"/>
      <c r="H7" s="17">
        <f>H8-SUM(H4:H6)</f>
        <v>816571</v>
      </c>
      <c r="I7" s="1">
        <f>H7/H$8</f>
        <v>0.31407168827412518</v>
      </c>
      <c r="J7" s="1"/>
      <c r="K7" s="1"/>
      <c r="L7" s="1"/>
      <c r="N7" s="1"/>
      <c r="O7" s="1"/>
      <c r="P7" s="1"/>
      <c r="Q7" s="1"/>
      <c r="R7" s="1"/>
      <c r="S7" s="1"/>
    </row>
    <row r="8" spans="1:19" s="5" customFormat="1">
      <c r="A8" s="5" t="s">
        <v>6</v>
      </c>
      <c r="B8" s="4">
        <f>B4*K4+B5*K5+B6*K6</f>
        <v>1.4779999999999998E-2</v>
      </c>
      <c r="C8" s="4">
        <f>C4*K4+C5*K5+C6*K6</f>
        <v>7.2277629736930901E-3</v>
      </c>
      <c r="D8" s="4">
        <f>D4*K4+D5*K5+D6*K6</f>
        <v>2.2134000000000001E-2</v>
      </c>
      <c r="E8" s="5">
        <f>SUM(E4:E6)</f>
        <v>286</v>
      </c>
      <c r="F8" s="31">
        <f>SUM(F4:F7)</f>
        <v>1</v>
      </c>
      <c r="G8" s="4">
        <f>G4*F4+F5*G5+F6*G6</f>
        <v>4.1197202797202803E-3</v>
      </c>
      <c r="H8" s="32">
        <v>2599951</v>
      </c>
      <c r="I8" s="31">
        <f>SUM(I4:I7)</f>
        <v>1</v>
      </c>
      <c r="J8" s="31">
        <f>SUM(J4:J7)</f>
        <v>1</v>
      </c>
      <c r="K8" s="31">
        <f>SUM(K4:K7)</f>
        <v>1</v>
      </c>
      <c r="L8" s="4">
        <f>L4*0.3+L5*0.22+L6*0.48</f>
        <v>3.3391259000000006E-2</v>
      </c>
    </row>
    <row r="10" spans="1:19">
      <c r="A10" s="15" t="s">
        <v>16</v>
      </c>
      <c r="N10" s="5"/>
    </row>
    <row r="11" spans="1:19">
      <c r="A11" t="s">
        <v>32</v>
      </c>
      <c r="B11" s="8">
        <v>-4.0000000000000001E-3</v>
      </c>
      <c r="C11" s="1">
        <v>7.0000000000000001E-3</v>
      </c>
      <c r="D11" s="3">
        <f>(1+B11)*(1+C11)-1</f>
        <v>2.9719999999999747E-3</v>
      </c>
      <c r="E11" s="3" t="s">
        <v>36</v>
      </c>
      <c r="F11" s="1">
        <v>0.186</v>
      </c>
      <c r="G11" t="s">
        <v>36</v>
      </c>
      <c r="I11" s="1">
        <v>0.153</v>
      </c>
      <c r="K11" s="1"/>
      <c r="N11" s="1">
        <f>(B$6-B11)*$I11</f>
        <v>4.7429999999999998E-3</v>
      </c>
      <c r="O11" s="1">
        <f>(C$6-C11)*$I11</f>
        <v>-2.8156767283328348E-5</v>
      </c>
      <c r="P11" s="1">
        <f>(D$6-D11)*$I11</f>
        <v>4.7472840000000044E-3</v>
      </c>
      <c r="Q11" s="1">
        <f>(B$4-B11)*$I11</f>
        <v>1.9889999999999999E-3</v>
      </c>
      <c r="R11" s="1">
        <f>(C$4-C11)*$I11</f>
        <v>1.0367304261645108E-3</v>
      </c>
      <c r="S11" s="1">
        <f>(D$4-D11)*$I11</f>
        <v>3.0489840000000037E-3</v>
      </c>
    </row>
    <row r="12" spans="1:19">
      <c r="B12" s="1"/>
      <c r="C12" s="1"/>
      <c r="D12" s="3"/>
      <c r="E12" s="3"/>
      <c r="F12" s="3"/>
      <c r="I12" s="3"/>
      <c r="K12" s="3"/>
    </row>
    <row r="20" spans="1:13">
      <c r="A20" s="28"/>
      <c r="B20" s="28"/>
      <c r="C20" s="28"/>
      <c r="D20" s="9"/>
      <c r="E20" s="6"/>
    </row>
    <row r="21" spans="1:13">
      <c r="M21" s="10"/>
    </row>
    <row r="22" spans="1:13">
      <c r="A22" s="1"/>
      <c r="B22" s="1"/>
      <c r="C22" s="1"/>
      <c r="D22" s="1"/>
      <c r="E22" s="1"/>
      <c r="M22" s="10"/>
    </row>
    <row r="23" spans="1:13">
      <c r="A23" s="1"/>
      <c r="B23" s="1"/>
      <c r="C23" s="1"/>
      <c r="D23" s="1"/>
      <c r="E23" s="1"/>
      <c r="M23" s="10"/>
    </row>
    <row r="24" spans="1:13">
      <c r="A24" s="1"/>
      <c r="B24" s="1"/>
      <c r="C24" s="1"/>
      <c r="D24" s="1"/>
      <c r="E24" s="1"/>
    </row>
    <row r="25" spans="1:13">
      <c r="A25" s="1"/>
      <c r="C25" s="1"/>
    </row>
    <row r="28" spans="1:13">
      <c r="A28" s="5"/>
      <c r="B28" s="1"/>
    </row>
  </sheetData>
  <mergeCells count="5">
    <mergeCell ref="N1:S1"/>
    <mergeCell ref="E1:G1"/>
    <mergeCell ref="H1:L1"/>
    <mergeCell ref="A20:C20"/>
    <mergeCell ref="B1:D1"/>
  </mergeCells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D41" sqref="D41"/>
    </sheetView>
  </sheetViews>
  <sheetFormatPr defaultRowHeight="15"/>
  <cols>
    <col min="1" max="1" width="25.7109375" bestFit="1" customWidth="1"/>
  </cols>
  <sheetData>
    <row r="1" spans="1:2">
      <c r="A1" s="4" t="s">
        <v>14</v>
      </c>
    </row>
    <row r="2" spans="1:2">
      <c r="A2" t="s">
        <v>12</v>
      </c>
      <c r="B2" s="1">
        <v>4.9000000000000002E-2</v>
      </c>
    </row>
    <row r="3" spans="1:2">
      <c r="A3" t="s">
        <v>13</v>
      </c>
      <c r="B3" s="1">
        <f>(1+B2)^(1/4)-1</f>
        <v>1.2031131104942583E-2</v>
      </c>
    </row>
    <row r="5" spans="1:2">
      <c r="A5" s="5"/>
    </row>
    <row r="6" spans="1:2">
      <c r="B6" s="1"/>
    </row>
    <row r="7" spans="1:2">
      <c r="B7" s="1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1"/>
  <sheetViews>
    <sheetView workbookViewId="0">
      <selection activeCell="E11" sqref="E11"/>
    </sheetView>
  </sheetViews>
  <sheetFormatPr defaultRowHeight="15"/>
  <cols>
    <col min="1" max="1" width="12" bestFit="1" customWidth="1"/>
    <col min="2" max="2" width="10.7109375" customWidth="1"/>
    <col min="3" max="3" width="11.28515625" customWidth="1"/>
    <col min="4" max="4" width="10.85546875" bestFit="1" customWidth="1"/>
    <col min="5" max="5" width="14.28515625" bestFit="1" customWidth="1"/>
    <col min="6" max="6" width="14.28515625" customWidth="1"/>
    <col min="7" max="7" width="12.42578125" bestFit="1" customWidth="1"/>
    <col min="8" max="8" width="15.85546875" bestFit="1" customWidth="1"/>
    <col min="9" max="9" width="9.140625" bestFit="1" customWidth="1"/>
    <col min="10" max="11" width="9.140625" customWidth="1"/>
    <col min="12" max="12" width="10.7109375" bestFit="1" customWidth="1"/>
    <col min="13" max="13" width="11" bestFit="1" customWidth="1"/>
    <col min="14" max="14" width="11.7109375" bestFit="1" customWidth="1"/>
    <col min="18" max="18" width="10.7109375" bestFit="1" customWidth="1"/>
    <col min="19" max="19" width="11" bestFit="1" customWidth="1"/>
    <col min="20" max="20" width="11.7109375" bestFit="1" customWidth="1"/>
  </cols>
  <sheetData>
    <row r="1" spans="1:33">
      <c r="I1" s="30" t="s">
        <v>49</v>
      </c>
      <c r="J1" s="30"/>
      <c r="K1" s="30"/>
      <c r="L1" s="30"/>
      <c r="M1" s="30"/>
      <c r="N1" s="30"/>
      <c r="O1" s="30" t="s">
        <v>54</v>
      </c>
      <c r="P1" s="30"/>
      <c r="Q1" s="30"/>
      <c r="R1" s="30"/>
      <c r="S1" s="30"/>
      <c r="T1" s="30"/>
      <c r="U1" s="30" t="s">
        <v>60</v>
      </c>
      <c r="V1" s="30"/>
      <c r="W1" s="30"/>
      <c r="X1" s="30"/>
      <c r="Y1" s="30"/>
      <c r="Z1" s="30"/>
      <c r="AA1" s="30" t="s">
        <v>61</v>
      </c>
      <c r="AB1" s="30"/>
      <c r="AC1" s="30"/>
      <c r="AD1" s="30"/>
      <c r="AE1" s="30"/>
      <c r="AF1" s="30"/>
    </row>
    <row r="2" spans="1:33">
      <c r="A2" t="s">
        <v>75</v>
      </c>
      <c r="B2" t="s">
        <v>50</v>
      </c>
      <c r="C2" t="s">
        <v>55</v>
      </c>
      <c r="D2" t="s">
        <v>51</v>
      </c>
      <c r="E2" t="s">
        <v>52</v>
      </c>
      <c r="F2" t="s">
        <v>56</v>
      </c>
      <c r="G2" t="s">
        <v>33</v>
      </c>
      <c r="H2" t="s">
        <v>53</v>
      </c>
      <c r="I2" t="s">
        <v>47</v>
      </c>
      <c r="J2" t="s">
        <v>48</v>
      </c>
      <c r="K2" t="s">
        <v>63</v>
      </c>
      <c r="L2" t="s">
        <v>57</v>
      </c>
      <c r="M2" t="s">
        <v>58</v>
      </c>
      <c r="N2" t="s">
        <v>59</v>
      </c>
      <c r="O2" t="s">
        <v>47</v>
      </c>
      <c r="P2" t="s">
        <v>48</v>
      </c>
      <c r="Q2" t="s">
        <v>63</v>
      </c>
      <c r="R2" t="s">
        <v>57</v>
      </c>
      <c r="S2" t="s">
        <v>58</v>
      </c>
      <c r="T2" t="s">
        <v>59</v>
      </c>
      <c r="U2" t="s">
        <v>47</v>
      </c>
      <c r="V2" t="s">
        <v>48</v>
      </c>
      <c r="W2" t="s">
        <v>63</v>
      </c>
      <c r="X2" t="s">
        <v>57</v>
      </c>
      <c r="Y2" t="s">
        <v>58</v>
      </c>
      <c r="Z2" t="s">
        <v>59</v>
      </c>
      <c r="AA2" t="s">
        <v>47</v>
      </c>
      <c r="AB2" t="s">
        <v>48</v>
      </c>
      <c r="AC2" t="s">
        <v>63</v>
      </c>
      <c r="AD2" t="s">
        <v>57</v>
      </c>
      <c r="AE2" t="s">
        <v>58</v>
      </c>
      <c r="AF2" t="s">
        <v>59</v>
      </c>
      <c r="AG2" s="5" t="s">
        <v>30</v>
      </c>
    </row>
    <row r="3" spans="1:33">
      <c r="A3" t="s">
        <v>76</v>
      </c>
      <c r="B3">
        <v>2007</v>
      </c>
      <c r="C3">
        <v>100</v>
      </c>
      <c r="D3">
        <v>100</v>
      </c>
      <c r="E3">
        <v>100</v>
      </c>
      <c r="AA3" s="18">
        <v>799</v>
      </c>
      <c r="AB3" s="18">
        <v>524</v>
      </c>
      <c r="AC3" s="18">
        <v>368</v>
      </c>
      <c r="AD3" s="18"/>
      <c r="AE3" s="18">
        <v>1314</v>
      </c>
      <c r="AF3" s="18">
        <v>670</v>
      </c>
      <c r="AG3" s="19">
        <f>SUM(AA3:AF3)</f>
        <v>3675</v>
      </c>
    </row>
    <row r="4" spans="1:33">
      <c r="B4">
        <v>2008</v>
      </c>
      <c r="C4">
        <f t="shared" ref="C4:C5" si="0">C3*(1+F4)</f>
        <v>106.04734023273971</v>
      </c>
      <c r="D4">
        <f t="shared" ref="D4:D5" si="1">D3*(1+G4)</f>
        <v>104.71324775353017</v>
      </c>
      <c r="E4">
        <f t="shared" ref="E4:E5" si="2">E3*(1+H4)</f>
        <v>101.27404364569961</v>
      </c>
      <c r="F4" s="1">
        <f>(1+G4)*(1+H4)-1</f>
        <v>6.0473402327397174E-2</v>
      </c>
      <c r="G4" s="1">
        <f>(O4*AA4+P4*AB4+Q4*AC4+S4*AE4+T4*AF4)/AG4</f>
        <v>4.713247753530167E-2</v>
      </c>
      <c r="H4" s="4">
        <f>(U4*AA4+V4*AB4+W4*AC4+Y4*AE4+Z4*AF4)/AG4</f>
        <v>1.2740436456996148E-2</v>
      </c>
      <c r="I4" s="1">
        <f>(1+O4)*(1+U4)-1</f>
        <v>5.1722000000000046E-2</v>
      </c>
      <c r="J4" s="1">
        <f t="shared" ref="J4:N5" si="3">(1+P4)*(1+V4)-1</f>
        <v>0.11191799999999996</v>
      </c>
      <c r="K4" s="1">
        <f t="shared" si="3"/>
        <v>5.661499999999986E-2</v>
      </c>
      <c r="L4" s="1"/>
      <c r="M4" s="1">
        <f t="shared" si="3"/>
        <v>4.6524999999999705E-2</v>
      </c>
      <c r="N4" s="1">
        <f t="shared" si="3"/>
        <v>5.5545999999999873E-2</v>
      </c>
      <c r="O4" s="1">
        <v>7.0999999999999994E-2</v>
      </c>
      <c r="P4" s="1">
        <v>0.10199999999999999</v>
      </c>
      <c r="Q4" s="1">
        <v>1.4999999999999999E-2</v>
      </c>
      <c r="R4" s="1"/>
      <c r="S4" s="1">
        <v>2.1000000000000001E-2</v>
      </c>
      <c r="T4" s="1">
        <v>4.2000000000000003E-2</v>
      </c>
      <c r="U4" s="1">
        <v>-1.7999999999999999E-2</v>
      </c>
      <c r="V4" s="1">
        <v>8.9999999999999993E-3</v>
      </c>
      <c r="W4" s="1">
        <v>4.1000000000000002E-2</v>
      </c>
      <c r="Y4" s="1">
        <v>2.5000000000000001E-2</v>
      </c>
      <c r="Z4" s="1">
        <v>1.2999999999999999E-2</v>
      </c>
      <c r="AA4" s="18">
        <v>841</v>
      </c>
      <c r="AB4" s="18">
        <v>583</v>
      </c>
      <c r="AC4" s="18">
        <v>389</v>
      </c>
      <c r="AD4" s="18"/>
      <c r="AE4" s="18">
        <v>1375</v>
      </c>
      <c r="AF4" s="18">
        <v>707</v>
      </c>
      <c r="AG4" s="19">
        <f>SUM(AA4:AF4)</f>
        <v>3895</v>
      </c>
    </row>
    <row r="5" spans="1:33">
      <c r="B5">
        <v>2009</v>
      </c>
      <c r="C5">
        <f t="shared" si="0"/>
        <v>112.28046050692602</v>
      </c>
      <c r="D5">
        <f t="shared" si="1"/>
        <v>109.60895417379719</v>
      </c>
      <c r="E5">
        <f t="shared" si="2"/>
        <v>102.43730665369989</v>
      </c>
      <c r="F5" s="1">
        <f>(1+G5)*(1+H5)-1</f>
        <v>5.8776771397628824E-2</v>
      </c>
      <c r="G5" s="1">
        <f>(O5*AA5+P5*AB5+Q5*AC5+S5*AE5+T5*AF5)/AG5</f>
        <v>4.6753457898568308E-2</v>
      </c>
      <c r="H5" s="4">
        <f>(U5*AA5+V5*AB5+W5*AC5+Y5*AE5+Z5*AF5)/AG5</f>
        <v>1.1486289735501093E-2</v>
      </c>
      <c r="I5" s="1">
        <f>(1+O5)*(1+U5)-1</f>
        <v>4.4680000000000053E-2</v>
      </c>
      <c r="J5" s="1">
        <f t="shared" si="3"/>
        <v>0.11435200000000001</v>
      </c>
      <c r="K5" s="1">
        <f t="shared" si="3"/>
        <v>7.417600000000002E-2</v>
      </c>
      <c r="L5" s="1"/>
      <c r="M5" s="1">
        <f t="shared" si="3"/>
        <v>4.6524999999999705E-2</v>
      </c>
      <c r="N5" s="1">
        <f t="shared" si="3"/>
        <v>4.1039999999999965E-2</v>
      </c>
      <c r="O5" s="1">
        <v>6.6000000000000003E-2</v>
      </c>
      <c r="P5" s="1">
        <v>8.4000000000000005E-2</v>
      </c>
      <c r="Q5" s="1">
        <v>4.9000000000000002E-2</v>
      </c>
      <c r="R5" s="1"/>
      <c r="S5" s="1">
        <v>2.1000000000000001E-2</v>
      </c>
      <c r="T5" s="1">
        <v>0.04</v>
      </c>
      <c r="U5" s="1">
        <v>-0.02</v>
      </c>
      <c r="V5" s="1">
        <v>2.8000000000000001E-2</v>
      </c>
      <c r="W5" s="1">
        <v>2.4E-2</v>
      </c>
      <c r="Y5" s="1">
        <v>2.5000000000000001E-2</v>
      </c>
      <c r="Z5" s="1">
        <v>1E-3</v>
      </c>
      <c r="AA5" s="18">
        <v>879</v>
      </c>
      <c r="AB5" s="18">
        <v>649</v>
      </c>
      <c r="AC5" s="18">
        <v>418</v>
      </c>
      <c r="AD5" s="18"/>
      <c r="AE5" s="18">
        <v>1439</v>
      </c>
      <c r="AF5" s="18">
        <v>736</v>
      </c>
      <c r="AG5" s="19">
        <f>SUM(AA5:AF5)</f>
        <v>4121</v>
      </c>
    </row>
    <row r="6" spans="1:33">
      <c r="B6">
        <v>2010</v>
      </c>
      <c r="C6">
        <f t="shared" ref="C6" si="4">C5*(1+F6)</f>
        <v>116.04178247344932</v>
      </c>
      <c r="D6">
        <f t="shared" ref="D6" si="5">D5*(1+G6)</f>
        <v>114.3507518790428</v>
      </c>
      <c r="E6">
        <f t="shared" ref="E6" si="6">E5*(1+H6)</f>
        <v>101.4788102103563</v>
      </c>
      <c r="F6" s="1">
        <f>(1+G6)*(1+H6)-1</f>
        <v>3.349934574138369E-2</v>
      </c>
      <c r="G6" s="1">
        <f>(O6*AA6+P6*AB6+Q6*AC6+S6*AE6+T6*AF6)/AG6</f>
        <v>4.3261043233082705E-2</v>
      </c>
      <c r="H6" s="4">
        <f>(U6*AA6+V6*AB6+W6*AC6+Y6*AE6+Z6*AF6)/AG6</f>
        <v>-9.356907894736843E-3</v>
      </c>
      <c r="I6" s="1">
        <f>(1+O6)*(1+U6)-1</f>
        <v>1.6316999999999915E-2</v>
      </c>
      <c r="J6" s="1">
        <f t="shared" ref="J6" si="7">(1+P6)*(1+V6)-1</f>
        <v>6.6868999999999845E-2</v>
      </c>
      <c r="K6" s="1">
        <f t="shared" ref="K6" si="8">(1+Q6)*(1+W6)-1</f>
        <v>3.7339999999999929E-2</v>
      </c>
      <c r="L6" s="1"/>
      <c r="M6" s="1">
        <f t="shared" ref="M6" si="9">(1+S6)*(1+Y6)-1</f>
        <v>2.2922000000000109E-2</v>
      </c>
      <c r="N6" s="1">
        <f t="shared" ref="N6" si="10">(1+T6)*(1+Z6)-1</f>
        <v>3.9269999999999916E-2</v>
      </c>
      <c r="O6" s="1">
        <v>5.0999999999999997E-2</v>
      </c>
      <c r="P6" s="1">
        <v>0.10100000000000001</v>
      </c>
      <c r="Q6" s="1">
        <v>1.7000000000000001E-2</v>
      </c>
      <c r="R6" s="1"/>
      <c r="S6" s="1">
        <v>2.5999999999999999E-2</v>
      </c>
      <c r="T6" s="1">
        <v>0.03</v>
      </c>
      <c r="U6" s="1">
        <v>-3.3000000000000002E-2</v>
      </c>
      <c r="V6" s="1">
        <v>-3.1E-2</v>
      </c>
      <c r="W6" s="1">
        <v>0.02</v>
      </c>
      <c r="Y6" s="1">
        <v>-3.0000000000000001E-3</v>
      </c>
      <c r="Z6" s="1">
        <v>8.9999999999999993E-3</v>
      </c>
      <c r="AA6" s="18">
        <v>893</v>
      </c>
      <c r="AB6" s="18">
        <v>693</v>
      </c>
      <c r="AC6" s="18">
        <v>433</v>
      </c>
      <c r="AD6" s="18"/>
      <c r="AE6" s="18">
        <v>1472</v>
      </c>
      <c r="AF6" s="18">
        <v>765</v>
      </c>
      <c r="AG6" s="19">
        <f>SUM(AA6:AF6)</f>
        <v>4256</v>
      </c>
    </row>
    <row r="7" spans="1:33" s="20" customFormat="1">
      <c r="F7" s="21"/>
      <c r="G7" s="21"/>
      <c r="H7" s="2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Y7" s="21"/>
      <c r="Z7" s="21"/>
      <c r="AA7" s="23"/>
      <c r="AB7" s="23"/>
      <c r="AC7" s="23"/>
      <c r="AD7" s="23"/>
      <c r="AE7" s="23"/>
      <c r="AF7" s="23"/>
      <c r="AG7" s="24"/>
    </row>
    <row r="8" spans="1:33">
      <c r="A8" t="s">
        <v>77</v>
      </c>
      <c r="B8">
        <v>2010</v>
      </c>
      <c r="C8">
        <f>C5*(1+F8)</f>
        <v>115.59343250592562</v>
      </c>
      <c r="D8">
        <f>D5*(1+G8)</f>
        <v>114.07982313898805</v>
      </c>
      <c r="E8">
        <f>E5*(1+H8)</f>
        <v>101.32679848661185</v>
      </c>
      <c r="F8" s="1">
        <f>(1+G8)*(1+H8)-1</f>
        <v>2.9506220263455729E-2</v>
      </c>
      <c r="G8" s="1">
        <f>(O8*AA8+R8*AD8+S8*AE8+T8*AF8)/AG8</f>
        <v>4.0789267618608932E-2</v>
      </c>
      <c r="H8" s="1">
        <f>(U8*AA8+X8*AD8+Y8*AE8+Z8*AF8)/AG8</f>
        <v>-1.0840856748042377E-2</v>
      </c>
      <c r="I8" s="1">
        <f>(1+O8)*(1+U8)-1</f>
        <v>2.6752000000000109E-2</v>
      </c>
      <c r="J8" s="1"/>
      <c r="K8" s="1"/>
      <c r="L8" s="1">
        <f t="shared" ref="L8:N10" si="11">(1+R8)*(1+X8)-1</f>
        <v>5.1586999999999827E-2</v>
      </c>
      <c r="M8" s="1">
        <f t="shared" si="11"/>
        <v>1.5579999999999927E-2</v>
      </c>
      <c r="N8" s="1">
        <f t="shared" si="11"/>
        <v>2.6104999999999823E-2</v>
      </c>
      <c r="O8" s="1">
        <v>5.1999999999999998E-2</v>
      </c>
      <c r="P8" s="1"/>
      <c r="Q8" s="1"/>
      <c r="R8" s="1">
        <v>5.8999999999999997E-2</v>
      </c>
      <c r="S8" s="1">
        <v>0.03</v>
      </c>
      <c r="T8" s="1">
        <v>2.1000000000000001E-2</v>
      </c>
      <c r="U8" s="1">
        <v>-2.4E-2</v>
      </c>
      <c r="V8" s="1"/>
      <c r="W8" s="1"/>
      <c r="X8" s="1">
        <v>-7.0000000000000001E-3</v>
      </c>
      <c r="Y8" s="1">
        <v>-1.4E-2</v>
      </c>
      <c r="Z8" s="1">
        <v>5.0000000000000001E-3</v>
      </c>
      <c r="AA8" s="18">
        <v>913</v>
      </c>
      <c r="AB8" s="18"/>
      <c r="AC8" s="18"/>
      <c r="AD8" s="18">
        <v>1163</v>
      </c>
      <c r="AE8" s="18">
        <v>1492</v>
      </c>
      <c r="AF8" s="18">
        <v>774</v>
      </c>
      <c r="AG8" s="19">
        <f>SUM(AA8:AF8)</f>
        <v>4342</v>
      </c>
    </row>
    <row r="9" spans="1:33">
      <c r="B9">
        <v>2011</v>
      </c>
      <c r="C9">
        <f t="shared" ref="C9:E10" si="12">C8*(1+F9)</f>
        <v>120.37684993806924</v>
      </c>
      <c r="D9">
        <f t="shared" si="12"/>
        <v>118.40019261799443</v>
      </c>
      <c r="E9">
        <f t="shared" si="12"/>
        <v>101.66947137193627</v>
      </c>
      <c r="F9" s="1">
        <f>(1+G9)*(1+H9)-1</f>
        <v>4.1381394500058732E-2</v>
      </c>
      <c r="G9" s="1">
        <f>(O9*AA9+R9*AD9+S9*AE9+T9*AF9)/AG9</f>
        <v>3.7871460176991154E-2</v>
      </c>
      <c r="H9" s="1">
        <f>(U9*AA9+X9*AD9+Y9*AE9+Z9*AF9)/AG9</f>
        <v>3.3818584070796458E-3</v>
      </c>
      <c r="I9" s="8">
        <f>(1+O9)*(1+U9)-1</f>
        <v>4.0159999999999973E-2</v>
      </c>
      <c r="J9" s="8"/>
      <c r="K9" s="8"/>
      <c r="L9" s="1">
        <f t="shared" si="11"/>
        <v>6.1587999999999976E-2</v>
      </c>
      <c r="M9" s="1">
        <f t="shared" si="11"/>
        <v>3.8260999999999878E-2</v>
      </c>
      <c r="N9" s="1">
        <f t="shared" si="11"/>
        <v>1.701599999999992E-2</v>
      </c>
      <c r="O9" s="1">
        <v>5.6000000000000001E-2</v>
      </c>
      <c r="P9" s="1"/>
      <c r="Q9" s="1"/>
      <c r="R9" s="1">
        <v>4.9000000000000002E-2</v>
      </c>
      <c r="S9" s="1">
        <v>2.9000000000000001E-2</v>
      </c>
      <c r="T9" s="1">
        <v>1.6E-2</v>
      </c>
      <c r="U9" s="1">
        <v>-1.4999999999999999E-2</v>
      </c>
      <c r="V9" s="1"/>
      <c r="W9" s="1"/>
      <c r="X9" s="1">
        <v>1.2E-2</v>
      </c>
      <c r="Y9" s="1">
        <v>8.9999999999999993E-3</v>
      </c>
      <c r="Z9" s="1">
        <v>1E-3</v>
      </c>
      <c r="AA9" s="18">
        <v>950</v>
      </c>
      <c r="AB9" s="18"/>
      <c r="AC9" s="18"/>
      <c r="AD9" s="18">
        <v>1234</v>
      </c>
      <c r="AE9" s="18">
        <v>1549</v>
      </c>
      <c r="AF9" s="18">
        <v>787</v>
      </c>
      <c r="AG9" s="19">
        <f>SUM(AA9:AF9)</f>
        <v>4520</v>
      </c>
    </row>
    <row r="10" spans="1:33">
      <c r="B10">
        <v>2012</v>
      </c>
      <c r="C10">
        <f t="shared" si="12"/>
        <v>125.22734417708442</v>
      </c>
      <c r="D10">
        <f t="shared" si="12"/>
        <v>122.67841983329843</v>
      </c>
      <c r="E10">
        <f t="shared" si="12"/>
        <v>102.07772837900063</v>
      </c>
      <c r="F10" s="1">
        <f>(1+G10)*(1+H10)-1</f>
        <v>4.0294244628519715E-2</v>
      </c>
      <c r="G10" s="1">
        <f>(O10*AA10+R10*AD10+S10*AE10+T10*AF10)/AG10</f>
        <v>3.6133617021276598E-2</v>
      </c>
      <c r="H10" s="1">
        <f>(U10*AA10+X10*AD10+Y10*AE10+Z10*AF10)/AG10</f>
        <v>4.0155319148936167E-3</v>
      </c>
      <c r="I10" s="8">
        <f>(1+O10)*(1+U10)-1</f>
        <v>2.3433999999999955E-2</v>
      </c>
      <c r="J10" s="8"/>
      <c r="K10" s="8"/>
      <c r="L10" s="1">
        <f t="shared" si="11"/>
        <v>6.5504000000000007E-2</v>
      </c>
      <c r="M10" s="8">
        <f t="shared" si="11"/>
        <v>3.0208999999999708E-2</v>
      </c>
      <c r="N10" s="1">
        <f t="shared" si="11"/>
        <v>3.8192000000000004E-2</v>
      </c>
      <c r="O10" s="1">
        <v>5.3999999999999999E-2</v>
      </c>
      <c r="P10" s="1"/>
      <c r="Q10" s="1"/>
      <c r="R10" s="1">
        <v>5.6000000000000001E-2</v>
      </c>
      <c r="S10" s="1">
        <v>1.0999999999999999E-2</v>
      </c>
      <c r="T10" s="1">
        <v>3.2000000000000001E-2</v>
      </c>
      <c r="U10" s="1">
        <v>-2.9000000000000001E-2</v>
      </c>
      <c r="V10" s="1"/>
      <c r="W10" s="1"/>
      <c r="X10" s="1">
        <v>8.9999999999999993E-3</v>
      </c>
      <c r="Y10" s="1">
        <v>1.9E-2</v>
      </c>
      <c r="Z10" s="1">
        <v>6.0000000000000001E-3</v>
      </c>
      <c r="AA10" s="18">
        <v>972</v>
      </c>
      <c r="AB10" s="18"/>
      <c r="AC10" s="18"/>
      <c r="AD10" s="18">
        <v>1315</v>
      </c>
      <c r="AE10" s="18">
        <v>1596</v>
      </c>
      <c r="AF10" s="18">
        <v>817</v>
      </c>
      <c r="AG10" s="19">
        <f>SUM(AA10:AF10)</f>
        <v>4700</v>
      </c>
    </row>
    <row r="11" spans="1:33">
      <c r="C11" s="1">
        <f>(C9/C3)^(1/4)-1</f>
        <v>4.7455890934344325E-2</v>
      </c>
      <c r="D11" s="1">
        <f>(D9/D3)^(1/4)-1</f>
        <v>4.3129198994910078E-2</v>
      </c>
      <c r="E11" s="1">
        <f>(E9/E3)^(1/4)-1</f>
        <v>4.1478006210573515E-3</v>
      </c>
    </row>
    <row r="12" spans="1:33">
      <c r="B12" s="34" t="s">
        <v>78</v>
      </c>
      <c r="C12" s="34"/>
      <c r="D12" s="1">
        <v>1.6E-2</v>
      </c>
    </row>
    <row r="13" spans="1:33" ht="14.25" customHeight="1">
      <c r="B13" s="34" t="s">
        <v>62</v>
      </c>
      <c r="C13" s="34"/>
      <c r="D13" s="3">
        <f>D11-D12</f>
        <v>2.7129198994910078E-2</v>
      </c>
    </row>
    <row r="21" spans="5:5">
      <c r="E21" s="1"/>
    </row>
  </sheetData>
  <mergeCells count="6">
    <mergeCell ref="B12:C12"/>
    <mergeCell ref="B13:C13"/>
    <mergeCell ref="O1:T1"/>
    <mergeCell ref="U1:Z1"/>
    <mergeCell ref="AA1:AF1"/>
    <mergeCell ref="I1:N1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C41" sqref="C41"/>
    </sheetView>
  </sheetViews>
  <sheetFormatPr defaultRowHeight="15"/>
  <cols>
    <col min="1" max="1" width="16.140625" bestFit="1" customWidth="1"/>
  </cols>
  <sheetData>
    <row r="1" spans="1:6">
      <c r="B1" t="s">
        <v>0</v>
      </c>
      <c r="C1" t="s">
        <v>1</v>
      </c>
      <c r="D1" t="s">
        <v>65</v>
      </c>
      <c r="E1" t="s">
        <v>2</v>
      </c>
      <c r="F1" t="s">
        <v>66</v>
      </c>
    </row>
    <row r="2" spans="1:6">
      <c r="A2" t="s">
        <v>3</v>
      </c>
      <c r="B2" s="1">
        <f>'Growth Rates'!B4</f>
        <v>8.9999999999999993E-3</v>
      </c>
      <c r="C2" s="1">
        <f>'Growth Rates'!C4</f>
        <v>1.3776015857284385E-2</v>
      </c>
      <c r="D2" s="1">
        <f>'Growth Rates'!G4</f>
        <v>2.4500000000000001E-2</v>
      </c>
      <c r="E2" s="10">
        <f>'Growth Rates'!K4</f>
        <v>0.3</v>
      </c>
      <c r="F2" s="10">
        <f>'Growth Rates'!F4</f>
        <v>0.16293706293706295</v>
      </c>
    </row>
    <row r="3" spans="1:6">
      <c r="A3" t="s">
        <v>4</v>
      </c>
      <c r="B3" s="1">
        <f>'Growth Rates'!B5</f>
        <v>-4.0000000000000001E-3</v>
      </c>
      <c r="C3" s="1">
        <f>'Growth Rates'!C5</f>
        <v>-8.0321285140561027E-4</v>
      </c>
      <c r="D3" s="1">
        <f>'Growth Rates'!G5</f>
        <v>4.7E-2</v>
      </c>
      <c r="E3" s="10">
        <f>'Growth Rates'!K5</f>
        <v>0.22</v>
      </c>
      <c r="F3" s="10">
        <f>'Growth Rates'!F5</f>
        <v>0.18566433566433566</v>
      </c>
    </row>
    <row r="4" spans="1:6">
      <c r="A4" t="s">
        <v>5</v>
      </c>
      <c r="B4" s="1">
        <f>'Growth Rates'!B6</f>
        <v>2.7E-2</v>
      </c>
      <c r="C4" s="1">
        <f>'Growth Rates'!C6</f>
        <v>6.8159688412854358E-3</v>
      </c>
      <c r="D4" s="1">
        <f>'Growth Rates'!G6</f>
        <v>-1.32E-2</v>
      </c>
      <c r="E4" s="10">
        <f>'Growth Rates'!K6</f>
        <v>0.48</v>
      </c>
      <c r="F4" s="10">
        <f>'Growth Rates'!F6</f>
        <v>0.6513986013986014</v>
      </c>
    </row>
    <row r="5" spans="1:6">
      <c r="A5" t="s">
        <v>64</v>
      </c>
      <c r="B5" s="1">
        <f>'Growth Rates'!B8</f>
        <v>1.4779999999999998E-2</v>
      </c>
      <c r="C5" s="1">
        <f>'Growth Rates'!C8</f>
        <v>7.2277629736930901E-3</v>
      </c>
      <c r="D5" s="1">
        <f>'Growth Rates'!G8</f>
        <v>4.1197202797202803E-3</v>
      </c>
      <c r="E5" s="10">
        <v>1</v>
      </c>
      <c r="F5" s="1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V15" sqref="V15"/>
    </sheetView>
  </sheetViews>
  <sheetFormatPr defaultRowHeight="15"/>
  <cols>
    <col min="2" max="2" width="13.5703125" customWidth="1"/>
    <col min="3" max="3" width="9.140625" customWidth="1"/>
    <col min="4" max="4" width="10.85546875" customWidth="1"/>
    <col min="5" max="5" width="12" customWidth="1"/>
  </cols>
  <sheetData>
    <row r="1" spans="1:6">
      <c r="A1" s="28" t="s">
        <v>82</v>
      </c>
      <c r="B1" s="28"/>
      <c r="C1" s="28"/>
      <c r="D1" s="28"/>
      <c r="E1" s="28"/>
      <c r="F1" s="28"/>
    </row>
    <row r="2" spans="1:6" s="7" customFormat="1" ht="30">
      <c r="B2" s="7" t="s">
        <v>2</v>
      </c>
      <c r="C2" s="7" t="s">
        <v>33</v>
      </c>
      <c r="D2" s="7" t="s">
        <v>1</v>
      </c>
      <c r="E2" s="7" t="s">
        <v>34</v>
      </c>
    </row>
    <row r="3" spans="1:6">
      <c r="A3" t="s">
        <v>3</v>
      </c>
      <c r="B3">
        <v>0.3</v>
      </c>
      <c r="C3" s="12">
        <v>8.9999999999999993E-3</v>
      </c>
      <c r="D3" s="12">
        <v>1.4E-2</v>
      </c>
    </row>
    <row r="4" spans="1:6">
      <c r="A4" t="s">
        <v>4</v>
      </c>
      <c r="B4">
        <v>0.22</v>
      </c>
      <c r="C4" s="12">
        <v>8.9999999999999993E-3</v>
      </c>
      <c r="D4" s="12">
        <v>0.01</v>
      </c>
    </row>
    <row r="5" spans="1:6">
      <c r="A5" t="s">
        <v>5</v>
      </c>
      <c r="B5">
        <v>0.48</v>
      </c>
      <c r="C5" s="12">
        <v>1.4999999999999999E-2</v>
      </c>
      <c r="D5" s="12">
        <v>1.4E-2</v>
      </c>
    </row>
    <row r="6" spans="1:6">
      <c r="C6" s="1">
        <f>C3*B3+C4*B4+C5*B5</f>
        <v>1.188E-2</v>
      </c>
      <c r="D6" s="1">
        <f>D3*B3+D4*B4+D5*B5</f>
        <v>1.312E-2</v>
      </c>
      <c r="E6" s="12">
        <v>4.0000000000000001E-3</v>
      </c>
      <c r="F6" s="3">
        <f>SUM(C6:E6)</f>
        <v>2.9000000000000001E-2</v>
      </c>
    </row>
    <row r="7" spans="1:6">
      <c r="E7" t="s">
        <v>35</v>
      </c>
      <c r="F7" s="12">
        <v>1.7000000000000001E-2</v>
      </c>
    </row>
    <row r="8" spans="1:6">
      <c r="E8" t="s">
        <v>46</v>
      </c>
      <c r="F8" s="12">
        <f>F6-F7</f>
        <v>1.2E-2</v>
      </c>
    </row>
    <row r="11" spans="1:6" s="7" customFormat="1"/>
    <row r="12" spans="1:6">
      <c r="C12" s="12"/>
      <c r="D12" s="12"/>
    </row>
    <row r="13" spans="1:6">
      <c r="C13" s="12"/>
      <c r="D13" s="12"/>
    </row>
    <row r="14" spans="1:6">
      <c r="C14" s="12"/>
      <c r="D14" s="12"/>
    </row>
    <row r="15" spans="1:6">
      <c r="C15" s="1"/>
      <c r="D15" s="1"/>
      <c r="E15" s="12"/>
      <c r="F15" s="3"/>
    </row>
    <row r="16" spans="1:6">
      <c r="F16" s="12"/>
    </row>
    <row r="17" spans="1:6">
      <c r="F17" s="13"/>
    </row>
    <row r="20" spans="1:6">
      <c r="A20" s="7"/>
      <c r="B20" s="7"/>
      <c r="C20" s="7"/>
      <c r="D20" s="7"/>
      <c r="E20" s="7"/>
      <c r="F20" s="7"/>
    </row>
    <row r="21" spans="1:6">
      <c r="C21" s="12"/>
      <c r="D21" s="12"/>
    </row>
    <row r="22" spans="1:6">
      <c r="C22" s="12"/>
      <c r="D22" s="12"/>
    </row>
    <row r="23" spans="1:6">
      <c r="C23" s="12"/>
      <c r="D23" s="12"/>
    </row>
    <row r="24" spans="1:6">
      <c r="C24" s="1"/>
      <c r="D24" s="1"/>
      <c r="E24" s="12"/>
      <c r="F24" s="3"/>
    </row>
    <row r="25" spans="1:6">
      <c r="F25" s="12"/>
    </row>
    <row r="26" spans="1:6">
      <c r="F26" s="13"/>
    </row>
    <row r="30" spans="1:6">
      <c r="A30" s="7"/>
      <c r="B30" s="7"/>
      <c r="C30" s="7"/>
      <c r="D30" s="7"/>
      <c r="E30" s="7"/>
      <c r="F30" s="7"/>
    </row>
    <row r="31" spans="1:6">
      <c r="C31" s="12"/>
      <c r="D31" s="12"/>
    </row>
    <row r="32" spans="1:6">
      <c r="C32" s="12"/>
      <c r="D32" s="12"/>
    </row>
    <row r="33" spans="3:6">
      <c r="C33" s="12"/>
      <c r="D33" s="12"/>
    </row>
    <row r="34" spans="3:6">
      <c r="C34" s="1"/>
      <c r="D34" s="1"/>
      <c r="E34" s="12"/>
      <c r="F34" s="3"/>
    </row>
    <row r="35" spans="3:6">
      <c r="F35" s="12"/>
    </row>
    <row r="36" spans="3:6">
      <c r="F36" s="13"/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7"/>
  <sheetViews>
    <sheetView workbookViewId="0">
      <selection activeCell="S3" sqref="S3"/>
    </sheetView>
  </sheetViews>
  <sheetFormatPr defaultRowHeight="15"/>
  <cols>
    <col min="1" max="1" width="13.5703125" bestFit="1" customWidth="1"/>
    <col min="18" max="18" width="10" bestFit="1" customWidth="1"/>
  </cols>
  <sheetData>
    <row r="1" spans="1:19">
      <c r="A1" s="30" t="s">
        <v>80</v>
      </c>
      <c r="B1" s="30"/>
      <c r="C1" s="30"/>
      <c r="D1" s="30"/>
      <c r="E1" s="30"/>
      <c r="F1" s="30"/>
      <c r="G1" s="30"/>
      <c r="I1" s="30" t="s">
        <v>29</v>
      </c>
      <c r="J1" s="30"/>
      <c r="K1" s="30"/>
      <c r="L1" s="30"/>
      <c r="N1" s="30" t="s">
        <v>79</v>
      </c>
      <c r="O1" s="30"/>
      <c r="P1" s="30"/>
      <c r="Q1" s="30"/>
      <c r="R1" s="30"/>
      <c r="S1" s="30"/>
    </row>
    <row r="2" spans="1:19">
      <c r="B2" t="s">
        <v>23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I2" t="s">
        <v>24</v>
      </c>
      <c r="J2" t="s">
        <v>25</v>
      </c>
      <c r="K2" t="s">
        <v>26</v>
      </c>
      <c r="L2" t="s">
        <v>27</v>
      </c>
      <c r="N2" t="s">
        <v>24</v>
      </c>
      <c r="O2" t="s">
        <v>25</v>
      </c>
      <c r="P2" t="s">
        <v>26</v>
      </c>
      <c r="Q2" t="s">
        <v>27</v>
      </c>
      <c r="R2" t="s">
        <v>30</v>
      </c>
      <c r="S2" t="s">
        <v>31</v>
      </c>
    </row>
    <row r="3" spans="1:19">
      <c r="A3">
        <v>2007</v>
      </c>
      <c r="B3" s="11">
        <v>55210</v>
      </c>
      <c r="C3" s="11">
        <v>26061</v>
      </c>
      <c r="D3" s="11">
        <v>12264</v>
      </c>
      <c r="E3" s="11">
        <v>8423</v>
      </c>
      <c r="F3" s="11">
        <v>4044</v>
      </c>
      <c r="G3" s="11">
        <v>4418</v>
      </c>
      <c r="H3" s="11"/>
      <c r="I3" s="11">
        <v>2481</v>
      </c>
      <c r="J3" s="11">
        <v>3726</v>
      </c>
      <c r="K3" s="11">
        <v>18857</v>
      </c>
      <c r="L3" s="11">
        <v>18841</v>
      </c>
      <c r="N3">
        <f>C3*I3</f>
        <v>64657341</v>
      </c>
      <c r="O3">
        <f>D3*J3</f>
        <v>45695664</v>
      </c>
      <c r="P3">
        <f>E3*K3</f>
        <v>158832511</v>
      </c>
      <c r="Q3">
        <f>F3*L3</f>
        <v>76193004</v>
      </c>
      <c r="R3">
        <f>SUM(N3:Q3)</f>
        <v>345378520</v>
      </c>
      <c r="S3">
        <f>R3/B3</f>
        <v>6255.7239630501717</v>
      </c>
    </row>
    <row r="4" spans="1:19">
      <c r="A4">
        <v>2008</v>
      </c>
      <c r="B4" s="11">
        <v>56962</v>
      </c>
      <c r="C4" s="11">
        <v>26479</v>
      </c>
      <c r="D4" s="11">
        <v>12739</v>
      </c>
      <c r="E4" s="11">
        <v>8685</v>
      </c>
      <c r="F4" s="11">
        <v>4147</v>
      </c>
      <c r="G4" s="11">
        <v>4912</v>
      </c>
      <c r="I4" s="11">
        <v>2481</v>
      </c>
      <c r="J4" s="11">
        <v>3726</v>
      </c>
      <c r="K4" s="11">
        <v>18857</v>
      </c>
      <c r="L4" s="11">
        <v>18841</v>
      </c>
      <c r="N4">
        <f>C4*I4</f>
        <v>65694399</v>
      </c>
      <c r="O4">
        <f>D4*J4</f>
        <v>47465514</v>
      </c>
      <c r="P4">
        <f>E4*K4</f>
        <v>163773045</v>
      </c>
      <c r="Q4">
        <f>F4*L4</f>
        <v>78133627</v>
      </c>
      <c r="R4">
        <f>SUM(N4:Q4)</f>
        <v>355066585</v>
      </c>
      <c r="S4">
        <f>R4/B4</f>
        <v>6233.3939292861905</v>
      </c>
    </row>
    <row r="5" spans="1:19">
      <c r="A5">
        <v>2009</v>
      </c>
      <c r="B5" s="11">
        <v>60880</v>
      </c>
      <c r="C5" s="11">
        <v>28344</v>
      </c>
      <c r="D5" s="11">
        <v>14245</v>
      </c>
      <c r="E5" s="11">
        <v>9031</v>
      </c>
      <c r="F5" s="11">
        <v>4195</v>
      </c>
      <c r="G5" s="11">
        <v>5066</v>
      </c>
      <c r="I5" s="11">
        <v>2481</v>
      </c>
      <c r="J5" s="11">
        <v>3726</v>
      </c>
      <c r="K5" s="11">
        <v>18857</v>
      </c>
      <c r="L5" s="11">
        <v>18841</v>
      </c>
      <c r="N5">
        <f>C5*I5</f>
        <v>70321464</v>
      </c>
      <c r="O5">
        <f>D5*J5</f>
        <v>53076870</v>
      </c>
      <c r="P5">
        <f>E5*K5</f>
        <v>170297567</v>
      </c>
      <c r="Q5">
        <f>F5*L5</f>
        <v>79037995</v>
      </c>
      <c r="R5">
        <f>SUM(N5:Q5)</f>
        <v>372733896</v>
      </c>
      <c r="S5">
        <f>R5/B5</f>
        <v>6122.4358738501969</v>
      </c>
    </row>
    <row r="6" spans="1:19">
      <c r="A6">
        <v>2010</v>
      </c>
      <c r="B6" s="11">
        <v>63730</v>
      </c>
      <c r="C6" s="11">
        <v>30024</v>
      </c>
      <c r="D6" s="11">
        <v>15368</v>
      </c>
      <c r="E6" s="11">
        <v>9341</v>
      </c>
      <c r="F6" s="11">
        <v>4289</v>
      </c>
      <c r="G6" s="11">
        <v>4709</v>
      </c>
      <c r="I6" s="11">
        <v>2481</v>
      </c>
      <c r="J6" s="11">
        <v>3726</v>
      </c>
      <c r="K6" s="11">
        <v>18857</v>
      </c>
      <c r="L6" s="11">
        <v>18841</v>
      </c>
      <c r="N6">
        <f>C6*I6</f>
        <v>74489544</v>
      </c>
      <c r="O6">
        <f>D6*J6</f>
        <v>57261168</v>
      </c>
      <c r="P6">
        <f>E6*K6</f>
        <v>176143237</v>
      </c>
      <c r="Q6">
        <f>F6*L6</f>
        <v>80809049</v>
      </c>
      <c r="R6">
        <f>SUM(N6:Q6)</f>
        <v>388702998</v>
      </c>
      <c r="S6">
        <f>R6/B6</f>
        <v>6099.2154087556883</v>
      </c>
    </row>
    <row r="7" spans="1:19">
      <c r="A7" t="s">
        <v>81</v>
      </c>
      <c r="B7" s="4">
        <f>(B6/B3)^(1/3)-1</f>
        <v>4.8999763900816395E-2</v>
      </c>
      <c r="C7" s="4">
        <f>(C6/C3)^(1/3)-1</f>
        <v>4.831666966018977E-2</v>
      </c>
      <c r="D7" s="4">
        <f>(D6/D3)^(1/3)-1</f>
        <v>7.810667928428261E-2</v>
      </c>
      <c r="E7" s="4">
        <f>(E6/E3)^(1/3)-1</f>
        <v>3.5083829219559215E-2</v>
      </c>
      <c r="F7" s="4">
        <f>(F6/F3)^(1/3)-1</f>
        <v>1.9799903275293573E-2</v>
      </c>
      <c r="G7" s="4">
        <f>(G6/G3)^(1/3)-1</f>
        <v>2.1490486623055194E-2</v>
      </c>
      <c r="I7" s="11">
        <v>2481</v>
      </c>
      <c r="J7" s="11">
        <v>3726</v>
      </c>
      <c r="K7" s="11">
        <v>18857</v>
      </c>
      <c r="L7" s="11">
        <v>18841</v>
      </c>
      <c r="S7" s="4">
        <f>(S6/S3)^(1/3)-1</f>
        <v>-8.4100153941828459E-3</v>
      </c>
    </row>
  </sheetData>
  <mergeCells count="3">
    <mergeCell ref="I1:L1"/>
    <mergeCell ref="N1:S1"/>
    <mergeCell ref="A1:G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9"/>
  <sheetViews>
    <sheetView tabSelected="1" workbookViewId="0">
      <selection activeCell="C11" sqref="C11"/>
    </sheetView>
  </sheetViews>
  <sheetFormatPr defaultRowHeight="15"/>
  <cols>
    <col min="1" max="1" width="18.28515625" bestFit="1" customWidth="1"/>
    <col min="2" max="2" width="13.5703125" bestFit="1" customWidth="1"/>
  </cols>
  <sheetData>
    <row r="1" spans="1:8">
      <c r="B1" s="30" t="s">
        <v>67</v>
      </c>
      <c r="C1" s="30"/>
      <c r="D1" s="30"/>
      <c r="E1" s="30"/>
      <c r="F1" s="30"/>
      <c r="G1" s="30"/>
      <c r="H1" s="30"/>
    </row>
    <row r="2" spans="1:8">
      <c r="B2" t="s">
        <v>68</v>
      </c>
      <c r="C2" t="s">
        <v>69</v>
      </c>
      <c r="D2" t="s">
        <v>70</v>
      </c>
      <c r="E2" t="s">
        <v>71</v>
      </c>
      <c r="F2" t="s">
        <v>72</v>
      </c>
      <c r="G2" t="s">
        <v>73</v>
      </c>
      <c r="H2" s="33" t="s">
        <v>30</v>
      </c>
    </row>
    <row r="3" spans="1:8">
      <c r="A3">
        <v>2007</v>
      </c>
      <c r="B3">
        <v>20760</v>
      </c>
      <c r="C3">
        <v>30159</v>
      </c>
      <c r="D3">
        <v>34619</v>
      </c>
      <c r="E3">
        <v>37390</v>
      </c>
      <c r="F3">
        <v>29449</v>
      </c>
      <c r="G3">
        <v>36116</v>
      </c>
      <c r="H3">
        <v>255018</v>
      </c>
    </row>
    <row r="4" spans="1:8">
      <c r="A4">
        <v>2008</v>
      </c>
      <c r="B4">
        <v>20876</v>
      </c>
      <c r="C4">
        <v>30133</v>
      </c>
      <c r="D4">
        <v>33510</v>
      </c>
      <c r="E4">
        <v>37511</v>
      </c>
      <c r="F4">
        <v>30101</v>
      </c>
      <c r="G4">
        <v>37161</v>
      </c>
      <c r="H4">
        <v>256702</v>
      </c>
    </row>
    <row r="5" spans="1:8">
      <c r="A5">
        <v>2009</v>
      </c>
      <c r="B5">
        <v>20732</v>
      </c>
      <c r="C5">
        <v>29555</v>
      </c>
      <c r="D5">
        <v>31949</v>
      </c>
      <c r="E5">
        <v>36723</v>
      </c>
      <c r="F5">
        <v>30638</v>
      </c>
      <c r="G5">
        <v>37971</v>
      </c>
      <c r="H5">
        <v>255295</v>
      </c>
    </row>
    <row r="6" spans="1:8">
      <c r="A6">
        <v>2010</v>
      </c>
      <c r="B6">
        <v>21666</v>
      </c>
      <c r="C6">
        <v>29196</v>
      </c>
      <c r="D6">
        <v>31347</v>
      </c>
      <c r="E6">
        <v>36217</v>
      </c>
      <c r="F6">
        <v>32165</v>
      </c>
      <c r="G6">
        <v>38985</v>
      </c>
      <c r="H6">
        <v>256603</v>
      </c>
    </row>
    <row r="7" spans="1:8">
      <c r="A7">
        <v>2011</v>
      </c>
      <c r="B7">
        <v>22491</v>
      </c>
      <c r="C7">
        <v>29690</v>
      </c>
      <c r="D7">
        <v>31528</v>
      </c>
      <c r="E7">
        <v>36102</v>
      </c>
      <c r="F7">
        <v>32442</v>
      </c>
      <c r="G7">
        <v>40817</v>
      </c>
      <c r="H7">
        <v>260214</v>
      </c>
    </row>
    <row r="8" spans="1:8">
      <c r="A8">
        <v>2012</v>
      </c>
      <c r="B8">
        <v>22425</v>
      </c>
      <c r="C8">
        <v>30362</v>
      </c>
      <c r="D8">
        <v>31449</v>
      </c>
      <c r="E8">
        <v>35559</v>
      </c>
      <c r="F8">
        <v>33121</v>
      </c>
      <c r="G8">
        <v>42648</v>
      </c>
      <c r="H8">
        <v>263165</v>
      </c>
    </row>
    <row r="9" spans="1:8">
      <c r="A9" s="5" t="s">
        <v>74</v>
      </c>
      <c r="B9" s="4">
        <f>(B8/B3)^(1/5)-1</f>
        <v>1.5549321891165091E-2</v>
      </c>
      <c r="C9" s="4">
        <f>(C8/C3)^(1/5)-1</f>
        <v>1.342588549953172E-3</v>
      </c>
      <c r="D9" s="4">
        <f>(D8/D3)^(1/5)-1</f>
        <v>-1.9023814677047612E-2</v>
      </c>
      <c r="E9" s="4">
        <f>(E8/E3)^(1/5)-1</f>
        <v>-9.9917475149008395E-3</v>
      </c>
      <c r="F9" s="4">
        <f>(F8/F3)^(1/5)-1</f>
        <v>2.3779850468508501E-2</v>
      </c>
      <c r="G9" s="4">
        <f>(G8/G3)^(1/5)-1</f>
        <v>3.380780112066839E-2</v>
      </c>
      <c r="H9" s="4">
        <f>(H8/H3)^(1/5)-1</f>
        <v>6.3092361047063505E-3</v>
      </c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Growth Rates</vt:lpstr>
      <vt:lpstr>Medicaid Calculations</vt:lpstr>
      <vt:lpstr>Private Calculations</vt:lpstr>
      <vt:lpstr>FINAL TABLE</vt:lpstr>
      <vt:lpstr>PREDICTIONS</vt:lpstr>
      <vt:lpstr>Medicaid Age Adjustment</vt:lpstr>
      <vt:lpstr>Private Age Adjustment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Holmes</dc:creator>
  <cp:lastModifiedBy>Jonathan Holmes</cp:lastModifiedBy>
  <cp:lastPrinted>2013-11-18T20:22:48Z</cp:lastPrinted>
  <dcterms:created xsi:type="dcterms:W3CDTF">2013-11-15T15:55:59Z</dcterms:created>
  <dcterms:modified xsi:type="dcterms:W3CDTF">2013-11-22T22:08:44Z</dcterms:modified>
</cp:coreProperties>
</file>